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<sst xmlns="http://schemas.openxmlformats.org/spreadsheetml/2006/main" count="4112" uniqueCount="3088">
  <si>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</si>
  <si>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</si>
  <si>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</si>
  <si>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</si>
  <si>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</si>
  <si>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</si>
  <si>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</si>
  <si>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</si>
  <si>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</si>
  <si>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</si>
  <si>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</si>
  <si>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</si>
  <si>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</si>
  <si>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</si>
  <si>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</si>
  <si>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</si>
  <si>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</si>
  <si>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</si>
  <si>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</si>
  <si>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</si>
  <si>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</si>
  <si>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</si>
  <si>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</si>
  <si>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</si>
  <si>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</si>
  <si>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</si>
  <si>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</si>
  <si>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</si>
  <si>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</si>
  <si>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</si>
  <si>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</si>
  <si>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</si>
  <si>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</si>
  <si>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</si>
  <si>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</si>
  <si>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</si>
  <si>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</si>
  <si>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</si>
  <si>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</si>
  <si>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</si>
  <si>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</si>
  <si>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</si>
  <si>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</si>
  <si>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</si>
  <si>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</si>
  <si>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</si>
  <si>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</si>
  <si>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</si>
  <si>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</si>
  <si>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</si>
  <si>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</si>
  <si>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</si>
  <si>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</si>
  <si>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</si>
  <si>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</si>
  <si>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</si>
  <si>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</si>
  <si>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</si>
  <si>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</si>
  <si>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</si>
  <si>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</si>
  <si>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</si>
  <si>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</si>
  <si>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</si>
  <si>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</si>
  <si>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</si>
  <si>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</si>
  <si>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</si>
  <si>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</si>
  <si>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</si>
  <si>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</si>
  <si>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</si>
  <si>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</si>
  <si>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</si>
  <si>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</si>
  <si>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</si>
  <si>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</si>
  <si>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</si>
  <si>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</si>
  <si>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</si>
  <si>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</si>
  <si>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</si>
  <si>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</si>
  <si>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</si>
  <si>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</si>
  <si>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</si>
  <si>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</si>
  <si>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</si>
  <si>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</si>
  <si>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</si>
  <si>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</si>
  <si>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</si>
  <si>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</si>
  <si>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</si>
  <si>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</si>
  <si>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</si>
  <si>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</si>
  <si>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</si>
  <si>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</si>
  <si>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</si>
  <si>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</si>
  <si>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</si>
  <si>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</si>
  <si>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</si>
  <si>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</si>
  <si>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</si>
  <si>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</si>
  <si>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</si>
  <si>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</si>
  <si>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</si>
  <si>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</si>
  <si>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</si>
  <si>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</si>
  <si>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</si>
  <si>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</si>
  <si>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</si>
  <si>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</si>
  <si>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</si>
  <si>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</si>
  <si>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</si>
  <si>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</si>
  <si>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</si>
  <si>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</si>
  <si>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</si>
  <si>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</si>
  <si>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</si>
  <si>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</si>
  <si>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</si>
  <si>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</si>
  <si>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</si>
  <si>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</si>
  <si>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</si>
  <si>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</si>
  <si>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</si>
  <si>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</si>
  <si>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</si>
  <si>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</si>
  <si>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</si>
  <si>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</si>
  <si>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</si>
  <si>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</si>
  <si>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</si>
  <si>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</si>
  <si>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</si>
  <si>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</si>
  <si>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</si>
  <si>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</si>
  <si>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</si>
  <si>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</si>
  <si>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</si>
  <si>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</si>
  <si>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</si>
  <si>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</si>
  <si>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</si>
  <si>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</si>
  <si>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</si>
  <si>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</si>
  <si>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</si>
  <si>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</si>
  <si>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</si>
  <si>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</si>
  <si>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</si>
  <si>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</si>
  <si>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</si>
  <si>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</si>
  <si>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</si>
  <si>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</si>
  <si>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</si>
  <si>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</si>
  <si>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</si>
  <si>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</si>
  <si>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</si>
  <si>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</si>
  <si>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</si>
  <si>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</si>
  <si>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</si>
  <si>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</si>
  <si>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</si>
  <si>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</si>
  <si>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</si>
  <si>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</si>
  <si>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</si>
  <si>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</si>
  <si>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</si>
  <si>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</si>
  <si>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</si>
  <si>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</si>
  <si>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</si>
  <si>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</si>
  <si>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</si>
  <si>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</si>
  <si>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</si>
  <si>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</si>
  <si>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</si>
  <si>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</si>
  <si>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</si>
  <si>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</si>
  <si>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</si>
  <si>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</si>
  <si>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</si>
  <si>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</si>
  <si>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</si>
  <si>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</si>
  <si>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</si>
  <si>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</si>
  <si>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</si>
  <si>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</si>
  <si>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</si>
  <si>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</si>
  <si>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</si>
  <si>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</si>
  <si>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</si>
  <si>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</si>
  <si>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</si>
  <si>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</si>
  <si>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</si>
  <si>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</si>
  <si>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</si>
  <si>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</si>
  <si>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</si>
  <si>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</si>
  <si>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</si>
  <si>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</si>
  <si>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</si>
  <si>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</si>
  <si>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</si>
  <si>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</si>
  <si>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</si>
  <si>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</si>
  <si>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</si>
  <si>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</si>
  <si>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</si>
  <si>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</si>
  <si>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</si>
  <si>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</si>
  <si>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</si>
  <si>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</si>
  <si>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</si>
  <si>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</si>
  <si>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</si>
  <si>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</si>
  <si>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</si>
  <si>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</si>
  <si>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</si>
  <si>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</si>
  <si>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</si>
  <si>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</si>
  <si>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</si>
  <si>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</si>
  <si>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</si>
  <si>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</si>
  <si>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</si>
  <si>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</si>
  <si>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</si>
  <si>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</si>
  <si>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</si>
  <si>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</si>
  <si>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</si>
  <si>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</si>
  <si>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</si>
  <si>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</si>
  <si>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</si>
  <si>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</si>
  <si>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</si>
  <si>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</si>
  <si>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</si>
  <si>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</si>
  <si>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</si>
  <si>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</si>
  <si>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</si>
  <si>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</si>
  <si>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</si>
  <si>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</si>
  <si>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</si>
  <si>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</si>
  <si>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</si>
  <si>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</si>
  <si>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</si>
  <si>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</si>
  <si>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</si>
  <si>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</si>
  <si>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</si>
  <si>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</si>
  <si>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</si>
  <si>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</si>
  <si>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</si>
  <si>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</si>
  <si>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</si>
  <si>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</si>
  <si>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</si>
  <si>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</si>
  <si>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</si>
  <si>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</si>
  <si>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</si>
  <si>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</si>
  <si>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</si>
  <si>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</si>
  <si>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</si>
  <si>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</si>
  <si>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</si>
  <si>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</si>
  <si>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</si>
  <si>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</si>
  <si>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</si>
  <si>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</si>
  <si>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</si>
  <si>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</si>
  <si>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</si>
  <si>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</si>
  <si>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</si>
  <si>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</si>
  <si>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</si>
  <si>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</si>
  <si>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</si>
  <si>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</si>
  <si>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</si>
  <si>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</si>
  <si>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</si>
  <si>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</si>
  <si>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</si>
  <si>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</si>
  <si>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</si>
  <si>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</si>
  <si>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</si>
  <si>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</si>
  <si>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</si>
  <si>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</si>
  <si>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</si>
  <si>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</si>
  <si>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</si>
  <si>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</si>
  <si>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</si>
  <si>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</si>
  <si>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</si>
  <si>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</si>
  <si>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</si>
  <si>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</si>
  <si>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</si>
  <si>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</si>
  <si>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</si>
  <si>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</si>
  <si>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</si>
  <si>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</si>
  <si>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</si>
  <si>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</si>
  <si>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</si>
  <si>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</si>
  <si>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</si>
  <si>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</si>
  <si>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</si>
  <si>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</si>
  <si>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</si>
  <si>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</si>
  <si>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</si>
  <si>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</si>
  <si>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</si>
  <si>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</si>
  <si>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</si>
  <si>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</si>
  <si>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</si>
  <si>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</si>
  <si>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</si>
  <si>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</si>
  <si>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</si>
  <si>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</si>
  <si>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</si>
  <si>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</si>
  <si>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</si>
  <si>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</si>
  <si>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</si>
  <si>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</si>
  <si>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</si>
  <si>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</si>
  <si>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</si>
  <si>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</si>
  <si>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</si>
  <si>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</si>
  <si>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</si>
  <si>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</si>
  <si>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</si>
  <si>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</si>
  <si>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</si>
  <si>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</si>
  <si>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</si>
  <si>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</si>
  <si>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</si>
  <si>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</si>
  <si>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</si>
  <si>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</si>
  <si>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</si>
  <si>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</si>
  <si>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</si>
  <si>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</si>
  <si>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</si>
  <si>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</si>
  <si>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</si>
  <si>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</si>
  <si>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</si>
  <si>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</si>
  <si>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</si>
  <si>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</si>
  <si>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</si>
  <si>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</si>
  <si>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</si>
  <si>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</si>
  <si>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</si>
  <si>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</si>
  <si>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</si>
  <si>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</si>
  <si>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</si>
  <si>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</si>
  <si>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</si>
  <si>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</si>
  <si>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</si>
  <si>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</si>
  <si>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</si>
  <si>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</si>
  <si>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</si>
  <si>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</si>
  <si>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</si>
  <si>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</si>
  <si>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</si>
  <si>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</si>
  <si>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</si>
  <si>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</si>
  <si>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</si>
  <si>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</si>
  <si>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</si>
  <si>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</si>
  <si>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</si>
  <si>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</si>
  <si>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</si>
  <si>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</si>
  <si>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</si>
  <si>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</si>
  <si>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</si>
  <si>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</si>
  <si>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</si>
  <si>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</si>
  <si>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</si>
  <si>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</si>
  <si>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</si>
  <si>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</si>
  <si>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</si>
  <si>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</si>
  <si>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</si>
  <si>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</si>
  <si>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</si>
  <si>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</si>
  <si>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</si>
  <si>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</si>
  <si>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</si>
  <si>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</si>
  <si>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</si>
  <si>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</si>
  <si>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</si>
  <si>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</si>
  <si>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</si>
  <si>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</si>
  <si>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</si>
  <si>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</si>
  <si>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</si>
  <si>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</si>
  <si>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</si>
  <si>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</si>
  <si>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</si>
  <si>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</si>
  <si>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</si>
  <si>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</si>
  <si>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</si>
  <si>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</si>
  <si>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</si>
  <si>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</si>
  <si>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</si>
  <si>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</si>
  <si>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</si>
  <si>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</si>
  <si>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</si>
  <si>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</si>
  <si>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</si>
  <si>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</si>
  <si>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</si>
  <si>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</si>
  <si>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</si>
  <si>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</si>
  <si>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</si>
  <si>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</si>
  <si>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</si>
  <si>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</si>
  <si>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</si>
  <si>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</si>
  <si>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</si>
  <si>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</si>
  <si>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</si>
  <si>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</si>
  <si>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</si>
  <si>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</si>
  <si>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</si>
  <si>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</si>
  <si>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</si>
  <si>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</si>
  <si>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</si>
  <si>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</si>
  <si>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</si>
  <si>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</si>
  <si>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</si>
  <si>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</si>
  <si>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</si>
  <si>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</si>
  <si>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</si>
  <si>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</si>
  <si>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</si>
  <si>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</si>
  <si>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</si>
  <si>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</si>
  <si>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</si>
  <si>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</si>
  <si>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</si>
  <si>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</si>
  <si>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</si>
  <si>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</si>
  <si>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</si>
  <si>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</si>
  <si>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</si>
  <si>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</si>
  <si>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</si>
  <si>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</si>
  <si>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</si>
  <si>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</si>
  <si>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</si>
  <si>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</si>
  <si>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</si>
  <si>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</si>
  <si>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</si>
  <si>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</si>
  <si>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</si>
  <si>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</si>
  <si>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</si>
  <si>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</si>
  <si>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</si>
  <si>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</si>
  <si>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</si>
  <si>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</si>
  <si>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</si>
  <si>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</si>
  <si>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</si>
  <si>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</si>
  <si>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</si>
  <si>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</si>
  <si>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</si>
  <si>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</si>
  <si>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</si>
  <si>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</si>
  <si>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</si>
  <si>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</si>
  <si>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</si>
  <si>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</si>
  <si>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</si>
  <si>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</si>
  <si>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</si>
  <si>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</si>
  <si>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</si>
  <si>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</si>
  <si>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</si>
  <si>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</si>
  <si>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</si>
  <si>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</si>
  <si>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</si>
  <si>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</si>
  <si>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</si>
  <si>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</si>
  <si>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</si>
  <si>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</si>
  <si>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</si>
  <si>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</si>
  <si>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</si>
  <si>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</si>
  <si>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</si>
  <si>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</si>
  <si>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</si>
  <si>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</si>
  <si>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</si>
  <si>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</si>
  <si>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</si>
  <si>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</si>
  <si>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</si>
  <si>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</si>
  <si>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</si>
  <si>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</si>
  <si>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</si>
  <si>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</si>
  <si>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</si>
  <si>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</si>
  <si>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</si>
  <si>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</si>
  <si>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</si>
  <si>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</si>
  <si>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</si>
  <si>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</si>
  <si>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</si>
  <si>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</si>
  <si>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</si>
  <si>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</si>
  <si>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</si>
  <si>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</si>
  <si>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</si>
  <si>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</si>
  <si>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</si>
  <si>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</si>
  <si>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</si>
  <si>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</si>
  <si>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</si>
  <si>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</si>
  <si>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</si>
  <si>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</si>
  <si>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</si>
  <si>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</si>
  <si>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</si>
  <si>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</si>
  <si>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</si>
  <si>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</si>
  <si>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</si>
  <si>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</si>
  <si>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</si>
  <si>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</si>
  <si>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</si>
  <si>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</si>
  <si>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</si>
  <si>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</si>
  <si>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</si>
  <si>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</si>
  <si>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</si>
  <si>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</si>
  <si>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</si>
  <si>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</si>
  <si>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</si>
  <si>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</si>
  <si>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</si>
  <si>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</si>
  <si>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</si>
  <si>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</si>
  <si>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</si>
  <si>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</si>
  <si>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</si>
  <si>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</si>
  <si>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</si>
  <si>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</si>
  <si>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</si>
  <si>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</si>
  <si>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</si>
  <si>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</si>
  <si>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</si>
  <si>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</si>
  <si>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</si>
  <si>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</si>
  <si>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</si>
  <si>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</si>
  <si>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</si>
  <si>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</si>
  <si>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</si>
  <si>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</si>
  <si>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</si>
  <si>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</si>
  <si>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</si>
  <si>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</si>
  <si>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</si>
  <si>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</si>
  <si>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</si>
  <si>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</si>
  <si>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</si>
  <si>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</si>
  <si>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</si>
  <si>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</si>
  <si>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</si>
  <si>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</si>
  <si>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</si>
  <si>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</si>
  <si>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</si>
  <si>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</si>
  <si>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</si>
  <si>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</si>
  <si>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</si>
  <si>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</si>
  <si>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</si>
  <si>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</si>
  <si>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</si>
  <si>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</si>
  <si>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</si>
  <si>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</si>
  <si>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</si>
  <si>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</si>
  <si>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</si>
  <si>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</si>
  <si>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</si>
  <si>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</si>
  <si>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</si>
  <si>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</si>
  <si>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</si>
  <si>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</si>
  <si>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</si>
  <si>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</si>
  <si>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</si>
  <si>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</si>
  <si>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</si>
  <si>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</si>
  <si>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</si>
  <si>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</si>
  <si>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</si>
  <si>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</si>
  <si>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</si>
  <si>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</si>
  <si>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</si>
  <si>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</si>
  <si>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</si>
  <si>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</si>
  <si>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</si>
  <si>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</si>
  <si>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</si>
  <si>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</si>
  <si>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</si>
  <si>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</si>
  <si>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</si>
  <si>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</si>
  <si>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</si>
  <si>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</si>
  <si>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</si>
  <si>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</si>
  <si>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</si>
  <si>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</si>
  <si>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</si>
  <si>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</si>
  <si>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</si>
  <si>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</si>
  <si>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</si>
  <si>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</si>
  <si>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</si>
  <si>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</si>
  <si>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</si>
  <si>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</si>
  <si>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</si>
  <si>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</si>
  <si>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</si>
  <si>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</si>
  <si>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</si>
  <si>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</si>
  <si>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</si>
  <si>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</si>
  <si>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</si>
  <si>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</si>
  <si>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</si>
  <si>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</si>
  <si>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</si>
  <si>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</si>
  <si>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</si>
  <si>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</si>
  <si>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</si>
  <si>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</si>
  <si>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</si>
  <si>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</si>
  <si>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</si>
  <si>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</si>
  <si>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</si>
  <si>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</si>
  <si>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</si>
  <si>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</si>
  <si>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</si>
  <si>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</si>
  <si>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</si>
  <si>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</si>
  <si>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</si>
  <si>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</si>
  <si>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</si>
  <si>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</si>
  <si>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</si>
  <si>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</si>
  <si>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</si>
  <si>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</si>
  <si>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</si>
  <si>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</si>
  <si>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</si>
  <si>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</si>
  <si>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</si>
  <si>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</si>
  <si>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</si>
  <si>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</si>
  <si>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</si>
  <si>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</si>
  <si>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</si>
  <si>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</si>
  <si>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</si>
  <si>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</si>
  <si>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</si>
  <si>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</si>
  <si>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</si>
  <si>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</si>
  <si>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</si>
  <si>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</si>
  <si>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</si>
  <si>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</si>
  <si>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</si>
  <si>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</si>
  <si>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</si>
  <si>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</si>
  <si>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</si>
  <si>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</si>
  <si>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</si>
  <si>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</si>
  <si>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</si>
  <si>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</si>
  <si>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</si>
  <si>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</si>
  <si>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</si>
  <si>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</si>
  <si>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</si>
  <si>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</si>
  <si>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</si>
  <si>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</si>
  <si>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</si>
  <si>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</si>
  <si>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</si>
  <si>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</si>
  <si>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</si>
  <si>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</si>
  <si>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</si>
  <si>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</si>
  <si>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</si>
  <si>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</si>
  <si>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</si>
  <si>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</si>
  <si>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</si>
  <si>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</si>
  <si>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</si>
  <si>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</si>
  <si>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</si>
  <si>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</si>
  <si>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</si>
  <si>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</si>
  <si>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</si>
  <si>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</si>
  <si>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</si>
  <si>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</si>
  <si>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</si>
  <si>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</si>
  <si>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</si>
  <si>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</si>
  <si>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</si>
  <si>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</si>
  <si>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</si>
  <si>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</si>
  <si>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</si>
  <si>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</si>
  <si>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</si>
  <si>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</si>
  <si>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</si>
  <si>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</si>
  <si>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</si>
  <si>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</si>
  <si>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</si>
  <si>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</si>
  <si>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</si>
  <si>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</si>
  <si>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</si>
  <si>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</si>
  <si>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</si>
  <si>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</si>
  <si>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</si>
  <si>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</si>
  <si>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</si>
  <si>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</si>
  <si>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</si>
  <si>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</si>
  <si>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</si>
  <si>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</si>
  <si>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</si>
  <si>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</si>
  <si>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</si>
  <si>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</si>
  <si>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</si>
  <si>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</si>
  <si>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</si>
  <si>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</si>
  <si>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</si>
  <si>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</si>
  <si>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</si>
  <si>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</si>
  <si>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</si>
  <si>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</si>
  <si>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</si>
  <si>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</si>
  <si>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</si>
  <si>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</si>
  <si>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</si>
  <si>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</si>
  <si>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</si>
  <si>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</si>
  <si>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</si>
  <si>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</si>
  <si>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</si>
  <si>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</si>
  <si>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</si>
  <si>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</si>
  <si>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</si>
  <si>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</si>
  <si>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</si>
  <si>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</si>
  <si>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</si>
  <si>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</si>
  <si>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</si>
  <si>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</si>
  <si>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</si>
  <si>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</si>
  <si>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</si>
  <si>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</si>
  <si>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</si>
  <si>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</si>
  <si>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</si>
  <si>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</si>
  <si>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</si>
  <si>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</si>
  <si>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</si>
  <si>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</si>
  <si>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</si>
  <si>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</si>
  <si>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</si>
  <si>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</si>
  <si>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</si>
  <si>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</si>
  <si>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</si>
  <si>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</si>
  <si>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</si>
  <si>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</si>
  <si>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</si>
  <si>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</si>
  <si>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</si>
  <si>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</si>
  <si>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</si>
  <si>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</si>
  <si>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</si>
  <si>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</si>
  <si>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</si>
  <si>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</si>
  <si>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</si>
  <si>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</si>
  <si>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</si>
  <si>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</si>
  <si>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</si>
  <si>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</si>
  <si>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</si>
  <si>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</si>
  <si>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</si>
  <si>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</si>
  <si>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</si>
  <si>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</si>
  <si>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</si>
  <si>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</si>
  <si>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</si>
  <si>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</si>
  <si>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</si>
  <si>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</si>
  <si>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</si>
  <si>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</si>
  <si>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</si>
  <si>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</si>
  <si>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</si>
  <si>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</si>
  <si>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</si>
  <si>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</si>
  <si>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</si>
  <si>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</si>
  <si>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</si>
  <si>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</si>
  <si>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</si>
  <si>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</si>
  <si>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</si>
  <si>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</si>
  <si>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</si>
  <si>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</si>
  <si>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</si>
  <si>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</si>
  <si>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</si>
  <si>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</si>
  <si>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</si>
  <si>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</si>
  <si>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</si>
  <si>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</si>
  <si>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</si>
  <si>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</si>
  <si>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</si>
  <si>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</si>
  <si>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</si>
  <si>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</si>
  <si>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</si>
  <si>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</si>
  <si>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</si>
  <si>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</si>
  <si>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</si>
  <si>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</si>
  <si>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</si>
  <si>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</si>
  <si>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</si>
  <si>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</si>
  <si>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</si>
  <si>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</si>
  <si>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</si>
  <si>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</si>
  <si>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</si>
  <si>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</si>
  <si>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</si>
  <si>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</si>
  <si>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</si>
  <si>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</si>
  <si>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</si>
  <si>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</si>
  <si>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</si>
  <si>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</si>
  <si>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</si>
  <si>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</si>
  <si>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</si>
  <si>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</si>
  <si>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</si>
  <si>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</si>
  <si>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</si>
  <si>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</si>
  <si>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</si>
  <si>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</si>
  <si>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</si>
  <si>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</si>
  <si>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</si>
  <si>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</si>
  <si>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</si>
  <si>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</si>
  <si>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</si>
  <si>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</si>
  <si>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</si>
  <si>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</si>
  <si>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</si>
  <si>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</si>
  <si>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</si>
  <si>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</si>
  <si>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</si>
  <si>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</si>
  <si>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</si>
  <si>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</si>
  <si>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</si>
  <si>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</si>
  <si>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</si>
  <si>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</si>
  <si>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</si>
  <si>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</si>
  <si>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</si>
  <si>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</si>
  <si>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</si>
  <si>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</si>
  <si>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</si>
  <si>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</si>
  <si>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</si>
  <si>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</si>
  <si>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</si>
  <si>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</si>
  <si>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</si>
  <si>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</si>
  <si>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</si>
  <si>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</si>
  <si>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</si>
  <si>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</si>
  <si>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</si>
  <si>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</si>
  <si>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</si>
  <si>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</si>
  <si>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</si>
  <si>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</si>
  <si>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</si>
  <si>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</si>
  <si>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</si>
  <si>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</si>
  <si>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</si>
  <si>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</si>
  <si>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</si>
  <si>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</si>
  <si>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</si>
  <si>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</si>
  <si>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</si>
  <si>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</si>
  <si>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</si>
  <si>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</si>
  <si>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</si>
  <si>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</si>
  <si>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</si>
  <si>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</si>
  <si>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</si>
  <si>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</si>
  <si>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</si>
  <si>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</si>
  <si>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</si>
  <si>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</si>
  <si>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</si>
  <si>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</si>
  <si>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</si>
  <si>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</si>
  <si>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</si>
  <si>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</si>
  <si>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</si>
  <si>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</si>
  <si>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</si>
  <si>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</si>
  <si>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</si>
  <si>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</si>
  <si>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</si>
  <si>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</si>
  <si>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</si>
  <si>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</si>
  <si>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</si>
  <si>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</si>
  <si>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</si>
  <si>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</si>
  <si>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</si>
  <si>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</si>
  <si>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</si>
  <si>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</si>
  <si>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</si>
  <si>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</si>
  <si>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</si>
  <si>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</si>
  <si>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</si>
  <si>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</si>
  <si>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</si>
  <si>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</si>
  <si>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</si>
  <si>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</si>
  <si>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</si>
  <si>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</si>
  <si>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</si>
  <si>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</si>
  <si>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</si>
  <si>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</si>
  <si>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</si>
  <si>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</si>
  <si>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</si>
  <si>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</si>
  <si>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</si>
  <si>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</si>
  <si>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</si>
  <si>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</si>
  <si>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</si>
  <si>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</si>
  <si>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</si>
  <si>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</si>
  <si>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</si>
  <si>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</si>
  <si>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</si>
  <si>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</si>
  <si>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</si>
  <si>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</si>
  <si>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</si>
  <si>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</si>
  <si>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</si>
  <si>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</si>
  <si>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</si>
  <si>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</si>
  <si>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</si>
  <si>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</si>
  <si>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</si>
  <si>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</si>
  <si>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</si>
  <si>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</si>
  <si>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</si>
  <si>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</si>
  <si>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</si>
  <si>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</si>
  <si>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</si>
  <si>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</si>
  <si>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</si>
  <si>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</si>
  <si>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</si>
  <si>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</si>
  <si>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</si>
  <si>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</si>
  <si>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</si>
  <si>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</si>
  <si>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</si>
  <si>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</si>
  <si>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</si>
  <si>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</si>
  <si>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</si>
  <si>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</si>
  <si>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</si>
  <si>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</si>
  <si>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</si>
  <si>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</si>
  <si>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</si>
  <si>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</si>
  <si>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</si>
  <si>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</si>
  <si>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</si>
  <si>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</si>
  <si>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</si>
  <si>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</si>
  <si>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</si>
  <si>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</si>
  <si>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</si>
  <si>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</si>
  <si>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</si>
  <si>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</si>
  <si>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</si>
  <si>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</si>
  <si>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</si>
  <si>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</si>
  <si>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</si>
  <si>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</si>
  <si>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</si>
  <si>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</si>
  <si>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</si>
  <si>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</si>
  <si>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</si>
  <si>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</si>
  <si>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</si>
  <si>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</si>
  <si>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</si>
  <si>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</si>
  <si>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</si>
  <si>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</si>
  <si>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</si>
  <si>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</si>
  <si>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</si>
  <si>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</si>
  <si>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</si>
  <si>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</si>
  <si>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</si>
  <si>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</si>
  <si>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</si>
  <si>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</si>
  <si>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</si>
  <si>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</si>
  <si>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</si>
  <si>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</si>
  <si>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</si>
  <si>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</si>
  <si>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</si>
  <si>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</si>
  <si>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</si>
  <si>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</si>
  <si>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</si>
  <si>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</si>
  <si>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</si>
  <si>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</si>
  <si>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</si>
  <si>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</si>
  <si>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</si>
  <si>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</si>
  <si>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</si>
  <si>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</si>
  <si>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</si>
  <si>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</si>
  <si>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</si>
  <si>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</si>
  <si>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</si>
  <si>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</si>
  <si>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</si>
  <si>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</si>
  <si>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</si>
  <si>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</si>
  <si>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</si>
  <si>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</si>
  <si>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</si>
  <si>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</si>
  <si>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</si>
  <si>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</si>
  <si>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</si>
  <si>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</si>
  <si>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</si>
  <si>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</si>
  <si>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</si>
  <si>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</si>
  <si>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</si>
  <si>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</si>
  <si>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</si>
  <si>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</si>
  <si>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</si>
  <si>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</si>
  <si>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</si>
  <si>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</si>
  <si>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</si>
  <si>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</si>
  <si>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</si>
  <si>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</si>
  <si>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</si>
  <si>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</si>
  <si>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</si>
  <si>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</si>
  <si>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</si>
  <si>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</si>
  <si>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</si>
  <si>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</si>
  <si>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</si>
  <si>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</si>
  <si>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</si>
  <si>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</si>
  <si>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</si>
  <si>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</si>
  <si>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</si>
  <si>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</si>
  <si>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</si>
  <si>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</si>
  <si>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</si>
  <si>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</si>
  <si>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</si>
  <si>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</si>
  <si>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</si>
  <si>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</si>
  <si>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</si>
  <si>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</si>
  <si>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</si>
  <si>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</si>
  <si>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</si>
  <si>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</si>
  <si>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</si>
  <si>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</si>
  <si>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</si>
  <si>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</si>
  <si>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</si>
  <si>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</si>
  <si>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</si>
  <si>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</si>
  <si>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</si>
  <si>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</si>
  <si>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</si>
  <si>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</si>
  <si>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</si>
  <si>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</si>
  <si>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</si>
  <si>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</si>
  <si>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</si>
  <si>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</si>
  <si>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</si>
  <si>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</si>
  <si>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</si>
  <si>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</si>
  <si>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</si>
  <si>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</si>
  <si>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</si>
  <si>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</si>
  <si>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</si>
  <si>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</si>
  <si>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</si>
  <si>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</si>
  <si>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</si>
  <si>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</si>
  <si>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</si>
  <si>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</si>
  <si>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</si>
  <si>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</si>
  <si>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</si>
  <si>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</si>
  <si>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</si>
  <si>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</si>
  <si>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</si>
  <si>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</si>
  <si>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</si>
  <si>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</si>
  <si>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</si>
  <si>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</si>
  <si>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</si>
  <si>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</si>
  <si>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</si>
  <si>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</si>
  <si>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</si>
  <si>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</si>
  <si>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</si>
  <si>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</si>
  <si>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</si>
  <si>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</si>
  <si>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</si>
  <si>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</si>
  <si>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</si>
  <si>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</si>
  <si>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</si>
  <si>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</si>
  <si>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</si>
  <si>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</si>
  <si>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</si>
  <si>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</si>
  <si>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</si>
  <si>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</si>
  <si>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</si>
  <si>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</si>
  <si>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</si>
  <si>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</si>
  <si>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</si>
  <si>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</si>
  <si>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</si>
  <si>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</si>
  <si>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</si>
  <si>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</si>
  <si>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</si>
  <si>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</si>
  <si>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</si>
  <si>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</si>
  <si>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</si>
  <si>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</si>
  <si>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</si>
  <si>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</si>
  <si>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</si>
  <si>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</si>
  <si>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</si>
  <si>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</si>
  <si>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</si>
  <si>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</si>
  <si>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</si>
  <si>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</si>
  <si>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</si>
  <si>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</si>
  <si>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</si>
  <si>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</si>
  <si>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</si>
  <si>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</si>
  <si>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</si>
  <si>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</si>
  <si>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</si>
  <si>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</si>
  <si>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</si>
  <si>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</si>
  <si>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</si>
  <si>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</si>
  <si>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</si>
  <si>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</si>
  <si>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</si>
  <si>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</si>
  <si>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</si>
  <si>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</si>
  <si>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</si>
  <si>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</si>
  <si>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</si>
  <si>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</si>
  <si>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</si>
  <si>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</si>
  <si>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</si>
  <si>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</si>
  <si>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</si>
  <si>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</si>
  <si>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</si>
  <si>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</si>
  <si>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</si>
  <si>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</si>
  <si>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</si>
  <si>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</si>
  <si>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</si>
  <si>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</si>
  <si>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</si>
  <si>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</si>
  <si>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</si>
  <si>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</si>
  <si>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</si>
  <si>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</si>
  <si>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</si>
  <si>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</si>
  <si>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</si>
  <si>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</si>
  <si>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</si>
  <si>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</si>
  <si>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</si>
  <si>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</si>
  <si>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</si>
  <si>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</si>
  <si>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</si>
  <si>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</si>
  <si>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</si>
  <si>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</si>
  <si>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</si>
  <si>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</si>
  <si>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</si>
  <si>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</si>
  <si>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</si>
  <si>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</si>
  <si>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</si>
  <si>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</si>
  <si>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</si>
  <si>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</si>
  <si>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</si>
  <si>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</si>
  <si>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</si>
  <si>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</si>
  <si>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</si>
  <si>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</si>
  <si>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</si>
  <si>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</si>
  <si>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</si>
  <si>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</si>
  <si>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</si>
  <si>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</si>
  <si>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</si>
  <si>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</si>
  <si>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</si>
  <si>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</si>
  <si>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</si>
  <si>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</si>
  <si>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</si>
  <si>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</si>
  <si>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</si>
  <si>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</si>
  <si>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</si>
  <si>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</si>
  <si>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</si>
  <si>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</si>
  <si>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</si>
  <si>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</si>
  <si>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</si>
  <si>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</si>
  <si>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</si>
  <si>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</si>
  <si>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</si>
  <si>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</si>
  <si>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</si>
  <si>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</si>
  <si>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</si>
  <si>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</si>
  <si>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</si>
  <si>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</si>
  <si>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</si>
  <si>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</si>
  <si>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</si>
  <si>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</si>
  <si>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</si>
  <si>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</si>
  <si>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</si>
  <si>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</si>
  <si>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</si>
  <si>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</si>
  <si>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</si>
  <si>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</si>
  <si>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</si>
  <si>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</si>
  <si>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</si>
  <si>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</si>
  <si>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</si>
  <si>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</si>
  <si>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</si>
  <si>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</si>
  <si>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</si>
  <si>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</si>
  <si>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</si>
  <si>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</si>
  <si>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</si>
  <si>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</si>
  <si>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</si>
  <si>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</si>
  <si>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</si>
  <si>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</si>
  <si>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</si>
  <si>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</si>
  <si>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</si>
  <si>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</si>
  <si>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</si>
  <si>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</si>
  <si>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</si>
  <si>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</si>
  <si>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</si>
  <si>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</si>
  <si>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</si>
  <si>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</si>
  <si>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</si>
  <si>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</si>
  <si>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</si>
  <si>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</si>
  <si>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</si>
  <si>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</si>
  <si>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</si>
  <si>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</si>
  <si>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</si>
  <si>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</si>
  <si>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</si>
  <si>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</si>
  <si>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</si>
  <si>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</si>
  <si>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</si>
  <si>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</si>
  <si>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</si>
  <si>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</si>
  <si>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</si>
  <si>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</si>
  <si>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</si>
  <si>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</si>
  <si>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</si>
  <si>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</si>
  <si>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</si>
  <si>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</si>
  <si>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</si>
  <si>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</si>
  <si>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</si>
  <si>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</si>
  <si>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</si>
  <si>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</si>
  <si>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</si>
  <si>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</si>
  <si>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</si>
  <si>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</si>
  <si>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</si>
  <si>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</si>
  <si>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</si>
  <si>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</si>
  <si>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</si>
  <si>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</si>
  <si>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</si>
  <si>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</si>
  <si>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</si>
  <si>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</si>
  <si>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</si>
  <si>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</si>
  <si>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</si>
  <si>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</si>
  <si>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</si>
  <si>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</si>
  <si>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</si>
  <si>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</si>
  <si>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</si>
  <si>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</si>
  <si>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</si>
  <si>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</si>
  <si>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</si>
  <si>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</si>
  <si>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</si>
  <si>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</si>
  <si>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</si>
  <si>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</si>
  <si>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</si>
  <si>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</si>
  <si>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</si>
  <si>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</si>
  <si>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</si>
  <si>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</si>
  <si>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</si>
  <si>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</si>
  <si>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</si>
  <si>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</si>
  <si>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</si>
  <si>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</si>
  <si>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</si>
  <si>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</si>
  <si>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</si>
  <si>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</si>
  <si>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</si>
  <si>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</si>
  <si>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</si>
  <si>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</si>
  <si>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</si>
  <si>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</si>
  <si>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</si>
  <si>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</si>
  <si>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</si>
  <si>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</si>
  <si>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</si>
  <si>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</si>
  <si>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</si>
  <si>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</si>
  <si>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</si>
  <si>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</si>
  <si>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</si>
  <si>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</si>
  <si>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</si>
  <si>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</si>
  <si>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</si>
  <si>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</si>
  <si>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</si>
  <si>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</si>
  <si>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</si>
  <si>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</si>
  <si>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</si>
  <si>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</si>
  <si>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</si>
  <si>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</si>
  <si>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</si>
  <si>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</si>
  <si>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</si>
  <si>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</si>
  <si>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</si>
  <si>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</si>
  <si>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</si>
  <si>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</si>
  <si>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</si>
  <si>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</si>
  <si>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</si>
  <si>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</si>
  <si>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</si>
  <si>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</si>
  <si>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</si>
  <si>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</si>
  <si>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</si>
  <si>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</si>
  <si>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</si>
  <si>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</si>
  <si>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</si>
  <si>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</si>
  <si>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</si>
  <si>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</si>
  <si>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</si>
  <si>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</si>
  <si>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</si>
  <si>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</si>
  <si>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</si>
  <si>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</si>
  <si>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</si>
  <si>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</si>
  <si>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</si>
  <si>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</si>
  <si>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</si>
  <si>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</si>
  <si>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</si>
  <si>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</si>
  <si>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</si>
  <si>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</si>
  <si>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</si>
  <si>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</si>
  <si>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</si>
  <si>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</si>
  <si>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</si>
  <si>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</si>
  <si>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</si>
  <si>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</si>
  <si>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</si>
  <si>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</si>
  <si>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</si>
  <si>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</si>
  <si>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</si>
  <si>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</si>
  <si>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</si>
  <si>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</si>
  <si>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</si>
  <si>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</si>
  <si>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</si>
  <si>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</si>
  <si>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</si>
  <si>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</si>
  <si>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</si>
  <si>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</si>
  <si>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</si>
  <si>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</si>
  <si>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</si>
  <si>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</si>
  <si>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</si>
  <si>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</si>
  <si>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</si>
  <si>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</si>
  <si>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</si>
  <si>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</si>
  <si>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</si>
  <si>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</si>
  <si>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</si>
  <si>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</si>
  <si>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</si>
  <si>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</si>
  <si>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</si>
  <si>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</si>
  <si>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</si>
  <si>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</si>
  <si>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</si>
  <si>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</si>
  <si>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</si>
  <si>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</si>
  <si>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</si>
  <si>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</si>
  <si>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</si>
  <si>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</si>
  <si>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</si>
  <si>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</si>
  <si>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</si>
  <si>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</si>
  <si>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</si>
  <si>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</si>
  <si>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</si>
  <si>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</si>
  <si>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</si>
  <si>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</si>
  <si>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</si>
  <si>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</si>
  <si>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</si>
  <si>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</si>
  <si>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</si>
  <si>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</si>
  <si>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</si>
  <si>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</si>
  <si>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</si>
  <si>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</si>
  <si>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</si>
  <si>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</si>
  <si>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</si>
  <si>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</si>
  <si>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</si>
  <si>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</si>
  <si>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</si>
  <si>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</si>
  <si>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</si>
  <si>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</si>
  <si>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</si>
  <si>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</si>
  <si>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</si>
  <si>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</si>
  <si>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</si>
  <si>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</si>
  <si>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</si>
  <si>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</si>
  <si>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</si>
  <si>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</si>
  <si>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</si>
  <si>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</si>
  <si>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</si>
  <si>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</si>
  <si>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</si>
  <si>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</si>
  <si>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</si>
  <si>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</si>
  <si>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</si>
  <si>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</si>
  <si>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</si>
  <si>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</si>
  <si>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</si>
  <si>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</si>
  <si>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</si>
  <si>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</si>
  <si>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</si>
  <si>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</si>
  <si>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</si>
  <si>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</si>
  <si>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</si>
  <si>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</si>
  <si>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</si>
  <si>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</si>
  <si>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</si>
  <si>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</si>
  <si>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</si>
  <si>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</si>
  <si>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</si>
  <si>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</si>
  <si>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</si>
  <si>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</si>
  <si>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</si>
  <si>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</si>
  <si>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</si>
  <si>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</si>
  <si>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</si>
  <si>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</si>
  <si>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</si>
  <si>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</si>
  <si>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</si>
  <si>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</si>
  <si>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</si>
  <si>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</si>
  <si>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</si>
  <si>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</si>
  <si>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</si>
  <si>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</si>
  <si>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</si>
  <si>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</si>
  <si>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</si>
  <si>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</si>
  <si>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</si>
  <si>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</si>
  <si>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</si>
  <si>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</si>
  <si>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</si>
  <si>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</si>
  <si>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</si>
  <si>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</si>
  <si>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</si>
  <si>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</si>
  <si>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</si>
  <si>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</si>
  <si>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</si>
  <si>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</si>
  <si>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</si>
  <si>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</si>
  <si>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</si>
  <si>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</si>
  <si>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</si>
  <si>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</si>
  <si>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</si>
  <si>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</si>
  <si>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</si>
  <si>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</si>
  <si>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</si>
  <si>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</si>
  <si>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</si>
  <si>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</si>
  <si>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</si>
  <si>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</si>
  <si>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</si>
  <si>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</si>
  <si>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</si>
  <si>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</si>
  <si>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</si>
  <si>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</si>
  <si>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</si>
  <si>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</si>
  <si>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</si>
  <si>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</si>
  <si>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</si>
  <si>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</si>
  <si>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</si>
  <si>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</si>
  <si>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</si>
  <si>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</si>
  <si>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</si>
  <si>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</si>
  <si>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</si>
  <si>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</si>
  <si>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</si>
  <si>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</si>
  <si>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</si>
  <si>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</si>
  <si>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</si>
  <si>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</si>
  <si>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</si>
  <si>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</si>
  <si>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</si>
  <si>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</si>
  <si>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</si>
  <si>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</si>
  <si>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</si>
  <si>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</si>
  <si>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</si>
  <si>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</si>
  <si>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</si>
  <si>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</si>
  <si>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</si>
  <si>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</si>
  <si>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</si>
  <si>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</si>
  <si>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</si>
  <si>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</si>
  <si>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</si>
  <si>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</si>
  <si>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</si>
  <si>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</si>
  <si>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</si>
  <si>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</si>
  <si>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</si>
  <si>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</si>
  <si>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</si>
  <si>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</si>
  <si>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</si>
  <si>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</si>
  <si>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</si>
  <si>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</si>
  <si>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</si>
  <si>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</si>
  <si>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</si>
  <si>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</si>
  <si>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</si>
  <si>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</si>
  <si>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</si>
  <si>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</si>
  <si>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</si>
  <si>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</si>
  <si>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</si>
  <si>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</si>
  <si>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</si>
  <si>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</si>
  <si>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</si>
  <si>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</si>
  <si>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</si>
  <si>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</si>
  <si>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</si>
  <si>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</si>
  <si>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</si>
  <si>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</si>
  <si>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</si>
  <si>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</si>
  <si>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</si>
  <si>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</si>
  <si>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</si>
  <si>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</si>
  <si>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</si>
  <si>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</si>
  <si>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</si>
  <si>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</si>
  <si>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</si>
  <si>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</si>
  <si>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</si>
  <si>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</si>
  <si>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</si>
  <si>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</si>
  <si>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</si>
  <si>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</si>
  <si>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</si>
  <si>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</si>
  <si>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</si>
  <si>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</si>
  <si>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</si>
  <si>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</si>
  <si>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</si>
  <si>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</si>
  <si>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</si>
  <si>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</si>
  <si>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</si>
  <si>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</si>
  <si>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</si>
  <si>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</si>
  <si>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</si>
  <si>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</si>
  <si>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</si>
  <si>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</si>
  <si>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</si>
  <si>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</si>
  <si>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</si>
  <si>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</si>
  <si>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</si>
  <si>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</si>
  <si>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</si>
  <si>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</si>
  <si>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</si>
  <si>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</si>
  <si>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</si>
  <si>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</si>
  <si>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</si>
  <si>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</si>
  <si>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</si>
  <si>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</si>
  <si>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</si>
  <si>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</si>
  <si>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</si>
  <si>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</si>
  <si>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</si>
  <si>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</si>
  <si>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</si>
  <si>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</si>
  <si>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</si>
  <si>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</si>
  <si>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</si>
  <si>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</si>
  <si>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</si>
  <si>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</si>
  <si>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</si>
  <si>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</si>
  <si>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</si>
  <si>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</si>
  <si>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</si>
  <si>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</si>
  <si>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</si>
  <si>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</si>
  <si>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</si>
  <si>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</si>
  <si>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</si>
  <si>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</si>
  <si>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</si>
  <si>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</si>
  <si>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</si>
  <si>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</si>
  <si>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</si>
  <si>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</si>
  <si>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</si>
  <si>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</si>
  <si>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</si>
  <si>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</si>
  <si>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</si>
  <si>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</si>
  <si>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</si>
  <si>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</si>
  <si>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</si>
  <si>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</si>
  <si>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</si>
  <si>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</si>
  <si>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</si>
  <si>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</si>
  <si>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</si>
  <si>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</si>
  <si>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</si>
  <si>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</si>
  <si>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</si>
  <si>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</si>
  <si>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</si>
  <si>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</si>
  <si>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</si>
  <si>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</si>
  <si>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</si>
  <si>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</si>
  <si>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</si>
  <si>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</si>
  <si>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</si>
  <si>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</si>
  <si>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</si>
  <si>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</si>
  <si>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</si>
  <si>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</si>
  <si>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</si>
  <si>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</si>
  <si>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</si>
  <si>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</si>
  <si>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</si>
  <si>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</si>
  <si>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</si>
  <si>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</si>
  <si>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</si>
  <si>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</si>
  <si>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</si>
  <si>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</si>
  <si>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</si>
  <si>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</si>
  <si>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</si>
  <si>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</si>
  <si>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</si>
  <si>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</si>
  <si>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</si>
  <si>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</si>
  <si>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</si>
  <si>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</si>
  <si>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</si>
  <si>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</si>
  <si>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</si>
  <si>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</si>
  <si>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</si>
  <si>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</si>
  <si>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</si>
  <si>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</si>
  <si>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</si>
  <si>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</si>
  <si>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</si>
  <si>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</si>
  <si>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</si>
  <si>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</si>
  <si>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</si>
  <si>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</si>
  <si>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</si>
  <si>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</si>
  <si>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</si>
  <si>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</si>
  <si>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</si>
  <si>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</si>
  <si>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</si>
  <si>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</si>
  <si>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</si>
  <si>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</si>
  <si>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</si>
  <si>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</si>
  <si>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</si>
  <si>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</si>
  <si>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</si>
  <si>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</si>
  <si>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</si>
  <si>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</si>
  <si>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</si>
  <si>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</si>
  <si>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</si>
  <si>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</si>
  <si>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</si>
  <si>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</si>
  <si>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</si>
  <si>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</si>
  <si>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</si>
  <si>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</si>
  <si>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</si>
  <si>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</si>
  <si>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</si>
  <si>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</si>
  <si>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</si>
  <si>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</si>
  <si>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</si>
  <si>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</si>
  <si>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</si>
  <si>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</si>
  <si>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</si>
  <si>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</si>
  <si>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</si>
  <si>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</si>
  <si>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</si>
  <si>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</si>
  <si>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</si>
  <si>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</si>
  <si>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</si>
  <si>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</si>
  <si>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</si>
  <si>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</si>
  <si>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</si>
  <si>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</si>
  <si>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</si>
  <si>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</si>
  <si>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</si>
  <si>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</si>
  <si>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</si>
  <si>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</si>
  <si>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</si>
  <si>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</si>
  <si>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</si>
  <si>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</si>
  <si>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</si>
  <si>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</si>
  <si>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</si>
  <si>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</si>
  <si>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</si>
  <si>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</si>
  <si>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</si>
  <si>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</si>
  <si>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</si>
  <si>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</si>
  <si>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</si>
  <si>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</si>
  <si>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</si>
  <si>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</si>
  <si>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</si>
  <si>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</si>
  <si>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</si>
  <si>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</si>
  <si>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</si>
  <si>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</si>
  <si>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</si>
  <si>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</si>
  <si>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</si>
  <si>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</si>
  <si>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</si>
  <si>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</si>
  <si>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</si>
  <si>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</si>
  <si>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</si>
  <si>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</si>
  <si>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</si>
  <si>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</si>
  <si>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</si>
  <si>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</si>
  <si>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</si>
  <si>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</si>
  <si>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</si>
  <si>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</si>
  <si>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</si>
  <si>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</si>
  <si>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</si>
  <si>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</si>
  <si>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</si>
  <si>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</si>
  <si>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</si>
  <si>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</si>
  <si>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</si>
  <si>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</si>
  <si>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</si>
  <si>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</si>
  <si>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</si>
  <si>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</si>
  <si>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</si>
  <si>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</si>
  <si>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</si>
  <si>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</si>
  <si>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</si>
  <si>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</si>
  <si>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</si>
  <si>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</si>
  <si>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</si>
  <si>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</si>
  <si>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</si>
  <si>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</si>
  <si>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</si>
  <si>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</si>
  <si>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</si>
  <si>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</si>
  <si>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</si>
  <si>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</si>
  <si>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</si>
  <si>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</si>
  <si>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</si>
  <si>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</si>
  <si>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</si>
  <si>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</si>
  <si>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</si>
  <si>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</si>
  <si>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</si>
  <si>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</si>
  <si>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</si>
  <si>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</si>
  <si>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</si>
  <si>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</si>
  <si>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</si>
  <si>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</si>
  <si>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</si>
  <si>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</si>
  <si>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</si>
  <si>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</si>
  <si>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</si>
  <si>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</si>
  <si>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</si>
  <si>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</si>
  <si>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</si>
  <si>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</si>
  <si>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</si>
  <si>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</si>
  <si>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</si>
  <si>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</si>
  <si>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</si>
  <si>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</si>
  <si>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</si>
  <si>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</si>
  <si>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</si>
  <si>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</si>
  <si>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</si>
  <si>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</si>
  <si>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</si>
  <si>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</si>
  <si>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</si>
  <si>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</si>
  <si>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</si>
  <si>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</si>
  <si>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</si>
  <si>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</si>
  <si>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</si>
  <si>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</si>
  <si>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</si>
  <si>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</si>
  <si>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</si>
  <si>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</si>
  <si>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</si>
  <si>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</si>
  <si>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</si>
  <si>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</si>
  <si>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</si>
  <si>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</si>
  <si>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</si>
  <si>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</si>
  <si>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</si>
  <si>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</si>
  <si>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</si>
  <si>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</si>
  <si>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</si>
  <si>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</si>
  <si>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</si>
  <si>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</si>
  <si>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</si>
  <si>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</si>
  <si>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</si>
  <si>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</si>
  <si>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</si>
  <si>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</si>
  <si>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</si>
  <si>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</si>
  <si>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</si>
  <si>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</si>
  <si>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</si>
  <si>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</si>
  <si>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</si>
  <si>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</si>
  <si>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</si>
  <si>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</si>
  <si>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</si>
  <si>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</si>
  <si>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</si>
  <si>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</si>
  <si>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</si>
  <si>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</si>
  <si>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</si>
  <si>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</si>
  <si>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</si>
  <si>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</si>
  <si>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</si>
  <si>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</si>
  <si>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</si>
  <si>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</si>
  <si>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</si>
  <si>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</si>
  <si>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</si>
  <si>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</si>
  <si>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</si>
  <si>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</si>
  <si>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</si>
  <si>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</si>
  <si>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</si>
  <si>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</si>
  <si>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</si>
  <si>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</si>
  <si>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</si>
  <si>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</si>
  <si>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</si>
  <si>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</si>
  <si>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</si>
  <si>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</si>
  <si>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</si>
  <si>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</si>
  <si>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</si>
  <si>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</si>
  <si>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</si>
  <si>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</si>
  <si>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</si>
  <si>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</si>
  <si>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</si>
  <si>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</si>
  <si>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</si>
  <si>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</si>
  <si>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</si>
  <si>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</si>
  <si>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</si>
  <si>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</si>
  <si>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</si>
  <si>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</si>
  <si>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</si>
  <si>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</si>
  <si>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</si>
  <si>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</si>
  <si>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</si>
  <si>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</si>
  <si>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</si>
  <si>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</si>
  <si>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</si>
  <si>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</si>
  <si>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</si>
  <si>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</si>
  <si>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</si>
  <si>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</si>
  <si>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</si>
  <si>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</si>
  <si>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</si>
  <si>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</si>
  <si>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</si>
  <si>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</si>
  <si>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</si>
  <si>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</si>
  <si>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</si>
  <si>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</si>
  <si>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</si>
  <si>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</si>
  <si>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</si>
  <si>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</si>
  <si>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</si>
  <si>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</si>
  <si>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</si>
  <si>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</si>
  <si>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</si>
  <si>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</si>
  <si>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</si>
  <si>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</si>
  <si>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</si>
  <si>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</si>
  <si>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</si>
  <si>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</si>
  <si>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</si>
  <si>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</si>
  <si>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</si>
  <si>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</si>
  <si>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</si>
  <si>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</si>
  <si>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</si>
  <si>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</si>
  <si>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</si>
  <si>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</si>
  <si>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</si>
  <si>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</si>
  <si>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</si>
  <si>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</si>
  <si>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</si>
  <si>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</si>
  <si>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</si>
  <si>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</si>
  <si>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</si>
  <si>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</si>
  <si>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</si>
  <si>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</si>
  <si>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</si>
  <si>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</si>
  <si>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</si>
  <si>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</si>
  <si>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</si>
  <si>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</si>
  <si>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</si>
  <si>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</si>
  <si>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</si>
  <si>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</si>
  <si>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</si>
  <si>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</si>
  <si>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</si>
  <si>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</si>
  <si>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</si>
  <si>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</si>
  <si>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</si>
  <si>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</si>
  <si>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</si>
  <si>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</si>
  <si>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</si>
  <si>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</si>
  <si>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</si>
  <si>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</si>
  <si>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</si>
  <si>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</si>
  <si>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</si>
  <si>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</si>
  <si>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</si>
  <si>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</si>
  <si>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</si>
  <si>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</si>
  <si>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</si>
  <si>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</si>
  <si>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</si>
  <si>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</si>
  <si>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</si>
  <si>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</si>
  <si>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</si>
  <si>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</si>
  <si>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</si>
  <si>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</si>
  <si>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</si>
  <si>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</si>
  <si>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</si>
  <si>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</si>
  <si>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</si>
  <si>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</si>
  <si>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</si>
  <si>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</si>
  <si>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</si>
  <si>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</si>
  <si>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</si>
  <si>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</si>
  <si>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</si>
  <si>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</si>
  <si>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</si>
  <si>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</si>
  <si>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</si>
  <si>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</si>
  <si>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</si>
  <si>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</si>
  <si>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</si>
  <si>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</si>
  <si>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</si>
  <si>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</si>
  <si>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</si>
  <si>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</si>
  <si>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</si>
  <si>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</si>
  <si>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</si>
  <si>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</si>
  <si>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</si>
  <si>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</si>
  <si>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</si>
  <si>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</si>
  <si>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</si>
  <si>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</si>
  <si>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</si>
  <si>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</si>
  <si>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</si>
  <si>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</si>
  <si>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</si>
  <si>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</si>
  <si>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</si>
  <si>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</si>
  <si>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</si>
  <si>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</si>
  <si>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</si>
  <si>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</si>
  <si>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</si>
  <si>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</si>
  <si>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</si>
  <si>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</si>
  <si>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</si>
  <si>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</si>
  <si>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</si>
  <si>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</si>
  <si>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</si>
  <si>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</si>
  <si>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</si>
  <si>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</si>
  <si>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</si>
  <si>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</si>
  <si>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</si>
  <si>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</si>
  <si>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</si>
  <si>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</si>
  <si>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</si>
  <si>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</si>
  <si>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</si>
  <si>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</si>
  <si>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</si>
  <si>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</si>
  <si>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</si>
  <si>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</si>
  <si>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</si>
  <si>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</si>
  <si>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</si>
  <si>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</si>
  <si>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</si>
  <si>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</si>
  <si>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</si>
  <si>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</si>
  <si>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</si>
  <si>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</si>
  <si>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</si>
  <si>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</si>
  <si>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</si>
  <si>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</si>
  <si>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</si>
  <si>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</si>
  <si>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</si>
  <si>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</si>
  <si>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</si>
  <si>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</si>
  <si>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</si>
  <si>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</si>
  <si>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</si>
  <si>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</si>
  <si>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</si>
  <si>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</si>
  <si>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</si>
  <si>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</si>
  <si>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</si>
  <si>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</si>
  <si>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</si>
  <si>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</si>
  <si>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</si>
  <si>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</si>
  <si>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</si>
  <si>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</si>
  <si>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</si>
  <si>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</si>
  <si>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</si>
  <si>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</si>
  <si>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</si>
  <si>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</si>
  <si>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</si>
  <si>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</si>
  <si>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</si>
  <si>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</si>
  <si>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</si>
  <si>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</si>
  <si>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</si>
  <si>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</si>
  <si>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</si>
  <si>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</si>
  <si>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</si>
  <si>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</si>
  <si>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</si>
  <si>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</si>
  <si>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</si>
  <si>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</si>
  <si>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</si>
  <si>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</si>
  <si>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</si>
  <si>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</si>
  <si>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</si>
  <si>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</si>
  <si>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</si>
  <si>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</si>
  <si>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</si>
  <si>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</si>
  <si>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</si>
  <si>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</si>
  <si>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</si>
  <si>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</si>
  <si>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</si>
  <si>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</si>
  <si>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</si>
  <si>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</si>
  <si>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</si>
  <si>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</si>
  <si>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</si>
  <si>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</si>
  <si>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</si>
  <si>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</si>
  <si>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</si>
  <si>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</si>
  <si>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</si>
  <si>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</si>
  <si>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</si>
  <si>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</si>
  <si>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</si>
  <si>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</si>
  <si>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</si>
  <si>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</si>
  <si>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</si>
  <si>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</si>
  <si>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</si>
  <si>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</si>
  <si>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</si>
  <si>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</si>
  <si>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</si>
  <si>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</si>
  <si>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</si>
  <si>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</si>
  <si>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</si>
  <si>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</si>
  <si>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</si>
  <si>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</si>
  <si>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</si>
  <si>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</si>
  <si>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</si>
  <si>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</si>
  <si>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</si>
  <si>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</si>
  <si>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</si>
  <si>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</si>
  <si>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</si>
  <si>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</si>
  <si>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</si>
  <si>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</si>
  <si>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</si>
  <si>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</si>
  <si>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</si>
  <si>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</si>
  <si>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</si>
  <si>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</si>
  <si>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</si>
  <si>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</si>
  <si>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</si>
  <si>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</si>
  <si>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</si>
  <si>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</si>
  <si>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</si>
  <si>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</si>
  <si>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</si>
  <si>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</si>
  <si>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</si>
  <si>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</si>
  <si>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</si>
  <si>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</si>
  <si>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</si>
  <si>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</si>
  <si>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</si>
  <si>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</si>
  <si>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</si>
  <si>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</si>
  <si>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</si>
  <si>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</si>
  <si>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</si>
  <si>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</si>
  <si>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</si>
  <si>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</si>
  <si>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</si>
  <si>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</si>
  <si>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</si>
  <si>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</si>
  <si>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</si>
  <si>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</si>
  <si>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</si>
  <si>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</si>
  <si>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</si>
  <si>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</si>
  <si>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</si>
  <si>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</si>
  <si>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</si>
  <si>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</si>
  <si>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</si>
  <si>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</si>
  <si>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</si>
  <si>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</si>
  <si>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</si>
  <si>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</si>
  <si>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</si>
  <si>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</si>
  <si>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</si>
  <si>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</si>
  <si>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</si>
  <si>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</si>
  <si>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</si>
  <si>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</si>
  <si>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</si>
  <si>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</si>
  <si>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</si>
  <si>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</si>
  <si>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</si>
  <si>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</si>
  <si>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</si>
  <si>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</si>
  <si>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</si>
  <si>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</si>
  <si>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</si>
  <si>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</si>
  <si>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</si>
  <si>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</si>
  <si>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</si>
  <si>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</si>
  <si>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</si>
  <si>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</si>
  <si>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</si>
  <si>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</si>
  <si>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</si>
  <si>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</si>
  <si>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</si>
  <si>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</si>
  <si>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</si>
  <si>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</si>
  <si>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</si>
  <si>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</si>
  <si>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</si>
  <si>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</si>
  <si>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</si>
  <si>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</si>
  <si>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</si>
  <si>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</si>
  <si>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</si>
  <si>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</si>
  <si>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</si>
  <si>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</si>
  <si>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</si>
  <si>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</si>
  <si>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</si>
  <si>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</si>
  <si>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</si>
  <si>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</si>
  <si>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</si>
  <si>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</si>
  <si>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</si>
  <si>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</si>
  <si>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</si>
  <si>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</si>
  <si>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</si>
  <si>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</si>
  <si>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</si>
  <si>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</si>
  <si>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</si>
  <si>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</si>
  <si>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</si>
  <si>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</si>
  <si>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</si>
  <si>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</si>
  <si>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</si>
  <si>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</si>
  <si>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</si>
  <si>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</si>
  <si>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</si>
  <si>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</si>
  <si>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</si>
  <si>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</si>
  <si>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</si>
  <si>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</si>
  <si>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</si>
  <si>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</si>
  <si>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</si>
  <si>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</si>
  <si>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</si>
  <si>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</si>
  <si>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</si>
  <si>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</si>
  <si>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</si>
  <si>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</si>
  <si>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</si>
  <si>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</si>
  <si>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</si>
  <si>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</si>
  <si>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</si>
  <si>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</si>
  <si>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</si>
  <si>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</si>
  <si>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</si>
  <si>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</si>
  <si>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</si>
  <si>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</si>
  <si>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</si>
  <si>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</si>
  <si>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</si>
  <si>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</si>
  <si>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</si>
  <si>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</si>
  <si>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</si>
  <si>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</si>
  <si>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</si>
  <si>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</si>
  <si>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</si>
  <si>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</si>
  <si>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</si>
  <si>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</si>
  <si>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</si>
  <si>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</si>
  <si>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</si>
  <si>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</si>
  <si>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</si>
  <si>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</si>
  <si>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</si>
  <si>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</si>
  <si>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</si>
  <si>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</si>
  <si>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</si>
  <si>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</si>
  <si>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</si>
  <si>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</si>
  <si>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</si>
  <si>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</si>
  <si>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</si>
  <si>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</si>
  <si>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</si>
  <si>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</si>
  <si>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</si>
  <si>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</si>
  <si>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</si>
  <si>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</si>
  <si>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</si>
  <si>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</si>
  <si>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</si>
  <si>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</si>
  <si>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</si>
  <si>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</si>
  <si>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</si>
  <si>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</si>
  <si>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</si>
  <si>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</si>
  <si>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</si>
  <si>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</si>
  <si>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</si>
  <si>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</si>
  <si>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</si>
  <si>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</si>
  <si>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</si>
  <si>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</si>
  <si>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</si>
  <si>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</si>
  <si>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</si>
  <si>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</si>
  <si>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</si>
  <si>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</si>
  <si>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</si>
  <si>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</si>
  <si>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</si>
  <si>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</si>
  <si>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</si>
  <si>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</si>
  <si>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</si>
  <si>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</si>
  <si>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</si>
  <si>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</si>
  <si>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</si>
  <si>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</si>
  <si>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</si>
  <si>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</si>
  <si>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</si>
  <si>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</si>
  <si>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</si>
  <si>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</si>
  <si>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</si>
  <si>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</si>
  <si>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</si>
  <si>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</si>
  <si>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</si>
  <si>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</si>
  <si>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</si>
  <si>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</si>
  <si>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</si>
  <si>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</si>
  <si>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</si>
  <si>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</si>
  <si>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</si>
  <si>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</si>
  <si>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</si>
  <si>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</si>
  <si>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</si>
  <si>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</si>
  <si>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</si>
  <si>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</si>
  <si>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</si>
  <si>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</si>
  <si>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</si>
  <si>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</si>
  <si>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</si>
  <si>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</si>
  <si>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</si>
  <si>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</si>
  <si>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</si>
  <si>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</si>
  <si>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</si>
  <si>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</si>
  <si>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</si>
  <si>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</si>
  <si>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</si>
  <si>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</si>
  <si>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</si>
  <si>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</si>
  <si>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</si>
  <si>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</si>
  <si>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</si>
  <si>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</si>
  <si>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</si>
  <si>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</si>
  <si>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</si>
  <si>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</si>
  <si>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</si>
  <si>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</si>
  <si>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</si>
  <si>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</si>
  <si>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</si>
  <si>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</si>
  <si>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</si>
  <si>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</si>
  <si>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</si>
  <si>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</si>
  <si>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</si>
  <si>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</si>
  <si>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</si>
  <si>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</si>
  <si>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</si>
  <si>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</si>
  <si>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</si>
  <si>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</si>
  <si>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</si>
  <si>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</si>
  <si>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</si>
  <si>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</si>
  <si>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</si>
  <si>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</si>
  <si>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</si>
  <si>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</si>
  <si>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</si>
  <si>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</si>
  <si>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</si>
  <si>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</si>
  <si>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</si>
  <si>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</si>
  <si>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</si>
  <si>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</si>
  <si>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</si>
  <si>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</si>
  <si>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</si>
  <si>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</si>
  <si>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</si>
  <si>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</si>
  <si>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</si>
  <si>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</si>
  <si>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</si>
  <si>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</si>
  <si>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</si>
  <si>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</si>
  <si>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</si>
  <si>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</si>
  <si>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</si>
  <si>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</si>
  <si>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</si>
  <si>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</si>
  <si>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</si>
  <si>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</si>
  <si>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</si>
  <si>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</si>
  <si>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</si>
  <si>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</si>
  <si>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</si>
  <si>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</si>
  <si>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</si>
  <si>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</si>
  <si>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</si>
  <si>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</si>
  <si>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</si>
  <si>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</si>
  <si>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</si>
  <si>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</si>
  <si>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</si>
  <si>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</si>
  <si>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</si>
  <si>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</si>
  <si>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</si>
  <si>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</si>
  <si>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</si>
  <si>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</si>
  <si>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</si>
  <si>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</si>
  <si>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</si>
  <si>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</si>
  <si>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</si>
  <si>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</si>
  <si>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</si>
  <si>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</si>
  <si>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</si>
  <si>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</si>
  <si>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</si>
  <si>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</si>
  <si>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</si>
  <si>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</si>
  <si>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</si>
  <si>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</si>
  <si>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</si>
  <si>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</si>
  <si>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</si>
  <si>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</si>
  <si>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</si>
  <si>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</si>
  <si>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</si>
  <si>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</si>
  <si>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</si>
  <si>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</si>
  <si>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</si>
  <si>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</si>
  <si>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</si>
  <si>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</si>
  <si>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</si>
  <si>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</si>
  <si>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</si>
  <si>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</si>
  <si>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</si>
  <si>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</si>
  <si>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</si>
  <si>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</si>
  <si>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</si>
  <si>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</si>
  <si>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</si>
  <si>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</si>
  <si>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Vlatka Zgurić Dobrenić</t>
  </si>
  <si>
    <t>016127167</t>
  </si>
  <si>
    <t>016127923</t>
  </si>
  <si>
    <t>vlatka.zguric@fina.hr</t>
  </si>
  <si>
    <t>02.02.2022.</t>
  </si>
  <si>
    <t>Centar za demokraciju i pravo Miko Tripalo</t>
  </si>
  <si>
    <t>Zagreb</t>
  </si>
  <si>
    <t>Ilica 5/II</t>
  </si>
  <si>
    <t>HR9123600001101680791</t>
  </si>
  <si>
    <t>01752235</t>
  </si>
  <si>
    <t>Tvrtko Jakovina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</si>
</sst>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2" fontId="30" fillId="46" borderId="21" xfId="0" applyNumberFormat="1" applyFont="1" applyFill="1" applyBorder="1" applyAlignment="1" applyProtection="1">
      <alignment horizontal="center" vertical="center" shrinkToFit="1"/>
      <protection locked="0"/>
    </xf>
    <xf numFmtId="195"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51" borderId="101" xfId="0" applyFont="1" applyFill="1" applyBorder="1" applyAlignment="1" applyProtection="1">
      <alignment horizontal="left" vertical="center" wrapText="1"/>
      <protection hidden="1"/>
    </xf>
    <xf numFmtId="0" fontId="82" fillId="51" borderId="36" xfId="0" applyFont="1" applyFill="1" applyBorder="1" applyAlignment="1" applyProtection="1">
      <alignment vertical="center" wrapText="1"/>
      <protection hidden="1"/>
    </xf>
    <xf numFmtId="0" fontId="82" fillId="51" borderId="102" xfId="0" applyFont="1" applyFill="1" applyBorder="1" applyAlignment="1" applyProtection="1">
      <alignment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01"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07" xfId="0" applyFont="1" applyFill="1" applyBorder="1" applyAlignment="1">
      <alignment horizontal="left" vertical="center"/>
    </xf>
    <xf numFmtId="0" fontId="15" fillId="52"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47" borderId="122" xfId="0" applyFont="1" applyFill="1" applyBorder="1" applyAlignment="1">
      <alignment horizontal="center" vertical="center" wrapText="1"/>
    </xf>
    <xf numFmtId="0" fontId="15"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47" borderId="127" xfId="91" applyFont="1" applyFill="1" applyBorder="1" applyAlignment="1">
      <alignment horizontal="center" vertical="center" wrapText="1"/>
      <protection/>
    </xf>
    <xf numFmtId="0" fontId="15" fillId="47" borderId="127" xfId="0" applyFont="1" applyFill="1" applyBorder="1" applyAlignment="1">
      <alignment horizontal="center" vertical="center" wrapText="1"/>
    </xf>
    <xf numFmtId="0" fontId="28"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47"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30"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07" xfId="0" applyFont="1" applyFill="1" applyBorder="1" applyAlignment="1">
      <alignment horizontal="center" vertical="center" wrapText="1"/>
    </xf>
    <xf numFmtId="0" fontId="15" fillId="47"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25" xfId="0" applyFont="1" applyFill="1" applyBorder="1" applyAlignment="1">
      <alignment horizontal="left" vertical="center"/>
    </xf>
    <xf numFmtId="0" fontId="15" fillId="52"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Djelatnosti ostalih članskih organizacija,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GRAD ZAGREB</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32" t="s">
        <v>343</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447</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448</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32" t="s">
        <v>360</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1481</v>
      </c>
      <c r="D9" s="533"/>
      <c r="E9" s="533"/>
      <c r="F9" s="533"/>
      <c r="G9" s="533"/>
      <c r="H9" s="533"/>
      <c r="I9" s="533"/>
      <c r="J9" s="533"/>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4" t="s">
        <v>2225</v>
      </c>
      <c r="D10" s="535"/>
      <c r="E10" s="535"/>
      <c r="F10" s="535"/>
      <c r="G10" s="535"/>
      <c r="H10" s="535"/>
      <c r="I10" s="535"/>
      <c r="J10" s="535"/>
      <c r="L10">
        <f>MAX(N10:O10)</f>
        <v>0</v>
      </c>
      <c r="M10">
        <v>0</v>
      </c>
      <c r="N10">
        <f>IF(ISERROR(R10),0,1)</f>
        <v>0</v>
      </c>
      <c r="O10" s="245">
        <f>IF(ISERROR(Q10),0,1)</f>
        <v>0</v>
      </c>
      <c r="P10" s="246" t="str">
        <f ca="1">CELL("filename")</f>
        <v>D:\Users\vzdobrenic\Documents\GFI 2021\CMT\[Neprof6 2021.xls]PRRAS</v>
      </c>
      <c r="Q10" s="246" t="e">
        <f>FIND(".XLSX",UPPER(P10),1)</f>
        <v>#VALUE!</v>
      </c>
      <c r="R10" s="1" t="e">
        <f>FIND(".XLSM",UPPER(P10),1)</f>
        <v>#VALUE!</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344</v>
      </c>
      <c r="D12" s="533"/>
      <c r="E12" s="533"/>
      <c r="F12" s="533"/>
      <c r="G12" s="533"/>
      <c r="H12" s="533"/>
      <c r="I12" s="533"/>
      <c r="J12" s="533"/>
      <c r="L12">
        <f>IF(ISERROR(RefStr!I21),1,0)</f>
        <v>0</v>
      </c>
      <c r="M12">
        <f>IF(RefStr!I21=0,1,0)</f>
        <v>0</v>
      </c>
    </row>
    <row r="13" spans="1:10" ht="19.5" customHeight="1">
      <c r="A13" s="536" t="s">
        <v>662</v>
      </c>
      <c r="B13" s="537"/>
      <c r="C13" s="537"/>
      <c r="D13" s="537"/>
      <c r="E13" s="537"/>
      <c r="F13" s="537"/>
      <c r="G13" s="537"/>
      <c r="H13" s="537"/>
      <c r="I13" s="537"/>
      <c r="J13" s="529"/>
    </row>
    <row r="14" spans="1:13" ht="30" customHeight="1">
      <c r="A14" s="236">
        <f>INT(A12)+1</f>
        <v>10</v>
      </c>
      <c r="B14" s="219" t="str">
        <f t="shared" si="1"/>
        <v>Ispravna</v>
      </c>
      <c r="C14" s="532" t="s">
        <v>1808</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1437</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1761</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1810</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1811</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1812</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1813</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1814</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29"/>
    </row>
    <row r="24" spans="1:15" ht="31.5" customHeight="1">
      <c r="A24" s="236">
        <f>INT(A22)+1</f>
        <v>19</v>
      </c>
      <c r="B24" s="219" t="str">
        <f>IF(L24=1,"Pogreška",IF(M24=1,"Upozorenje","Ispravna"))</f>
        <v>Ispravna</v>
      </c>
      <c r="C24" s="531" t="s">
        <v>984</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2913</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1761</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2914</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680</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2478</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709</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46" t="s">
        <v>477</v>
      </c>
      <c r="B2" s="547"/>
      <c r="C2" s="547"/>
      <c r="D2" s="547"/>
      <c r="E2" s="547"/>
      <c r="F2" s="547"/>
      <c r="G2" s="547"/>
      <c r="H2" s="547"/>
      <c r="I2" s="548"/>
    </row>
    <row r="3" spans="1:9" ht="18" customHeight="1">
      <c r="A3" s="15" t="s">
        <v>1339</v>
      </c>
      <c r="B3" s="549" t="s">
        <v>476</v>
      </c>
      <c r="C3" s="550"/>
      <c r="D3" s="550"/>
      <c r="E3" s="550"/>
      <c r="F3" s="550"/>
      <c r="G3" s="550"/>
      <c r="H3" s="550"/>
      <c r="I3" s="551"/>
    </row>
    <row r="4" spans="1:9" ht="19.5" customHeight="1" hidden="1">
      <c r="A4" s="16" t="s">
        <v>1114</v>
      </c>
      <c r="B4" s="552" t="s">
        <v>273</v>
      </c>
      <c r="C4" s="553"/>
      <c r="D4" s="553"/>
      <c r="E4" s="553"/>
      <c r="F4" s="553"/>
      <c r="G4" s="553"/>
      <c r="H4" s="553"/>
      <c r="I4" s="554"/>
    </row>
    <row r="5" spans="1:9" ht="35.25" customHeight="1" hidden="1">
      <c r="A5" s="16" t="s">
        <v>2089</v>
      </c>
      <c r="B5" s="552" t="s">
        <v>2090</v>
      </c>
      <c r="C5" s="553"/>
      <c r="D5" s="553"/>
      <c r="E5" s="553"/>
      <c r="F5" s="553"/>
      <c r="G5" s="553"/>
      <c r="H5" s="553"/>
      <c r="I5" s="554"/>
    </row>
    <row r="6" spans="1:9" ht="35.25" customHeight="1" hidden="1">
      <c r="A6" s="16" t="s">
        <v>2184</v>
      </c>
      <c r="B6" s="552" t="s">
        <v>2185</v>
      </c>
      <c r="C6" s="553"/>
      <c r="D6" s="553"/>
      <c r="E6" s="553"/>
      <c r="F6" s="553"/>
      <c r="G6" s="553"/>
      <c r="H6" s="553"/>
      <c r="I6" s="554"/>
    </row>
    <row r="7" spans="1:9" ht="45" customHeight="1" hidden="1">
      <c r="A7" s="16" t="s">
        <v>2186</v>
      </c>
      <c r="B7" s="552" t="s">
        <v>2187</v>
      </c>
      <c r="C7" s="553"/>
      <c r="D7" s="553"/>
      <c r="E7" s="553"/>
      <c r="F7" s="553"/>
      <c r="G7" s="553"/>
      <c r="H7" s="553"/>
      <c r="I7" s="554"/>
    </row>
    <row r="8" spans="1:9" ht="62.25" customHeight="1" hidden="1">
      <c r="A8" s="16" t="s">
        <v>3014</v>
      </c>
      <c r="B8" s="552" t="s">
        <v>2808</v>
      </c>
      <c r="C8" s="553"/>
      <c r="D8" s="553"/>
      <c r="E8" s="553"/>
      <c r="F8" s="553"/>
      <c r="G8" s="553"/>
      <c r="H8" s="553"/>
      <c r="I8" s="554"/>
    </row>
    <row r="9" spans="1:9" ht="25.5" customHeight="1" hidden="1">
      <c r="A9" s="16" t="s">
        <v>1656</v>
      </c>
      <c r="B9" s="552" t="s">
        <v>1657</v>
      </c>
      <c r="C9" s="553"/>
      <c r="D9" s="553"/>
      <c r="E9" s="553"/>
      <c r="F9" s="553"/>
      <c r="G9" s="553"/>
      <c r="H9" s="553"/>
      <c r="I9" s="554"/>
    </row>
    <row r="10" spans="1:9" ht="25.5" customHeight="1" hidden="1">
      <c r="A10" s="276" t="s">
        <v>2256</v>
      </c>
      <c r="B10" s="555" t="s">
        <v>2257</v>
      </c>
      <c r="C10" s="556"/>
      <c r="D10" s="556"/>
      <c r="E10" s="556"/>
      <c r="F10" s="556"/>
      <c r="G10" s="556"/>
      <c r="H10" s="556"/>
      <c r="I10" s="557"/>
    </row>
    <row r="11" spans="1:9" ht="45" customHeight="1" hidden="1">
      <c r="A11" s="276" t="s">
        <v>985</v>
      </c>
      <c r="B11" s="555" t="s">
        <v>2095</v>
      </c>
      <c r="C11" s="556"/>
      <c r="D11" s="556"/>
      <c r="E11" s="556"/>
      <c r="F11" s="556"/>
      <c r="G11" s="556"/>
      <c r="H11" s="556"/>
      <c r="I11" s="557"/>
    </row>
    <row r="12" spans="1:9" ht="30.75" customHeight="1">
      <c r="A12" s="286" t="s">
        <v>1806</v>
      </c>
      <c r="B12" s="555" t="s">
        <v>1807</v>
      </c>
      <c r="C12" s="556"/>
      <c r="D12" s="556"/>
      <c r="E12" s="556"/>
      <c r="F12" s="556"/>
      <c r="G12" s="556"/>
      <c r="H12" s="556"/>
      <c r="I12" s="557"/>
    </row>
    <row r="13" spans="1:9" ht="30.75" customHeight="1">
      <c r="A13" s="286" t="s">
        <v>2222</v>
      </c>
      <c r="B13" s="555" t="s">
        <v>2223</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4">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343113</v>
      </c>
      <c r="C2" s="5">
        <f>PRRAS!K19</f>
        <v>247859</v>
      </c>
      <c r="D2" s="8">
        <v>0</v>
      </c>
      <c r="E2" s="8">
        <v>0</v>
      </c>
      <c r="F2" s="7">
        <f>A2/100*B2+A2/50*C2</f>
        <v>8388.310000000001</v>
      </c>
      <c r="G2" s="9" t="str">
        <f>TRIM(UPPER(RefStr!C13))</f>
        <v>HR9123600001101680791</v>
      </c>
      <c r="H2" s="13">
        <v>0</v>
      </c>
      <c r="I2" s="9" t="s">
        <v>2210</v>
      </c>
      <c r="J2" s="8">
        <f aca="true" t="shared" si="0" ref="J2:J33">ABS(B2-ROUND(B2,0))+ABS(C2-ROUND(C2,0))</f>
        <v>0</v>
      </c>
    </row>
    <row r="3" spans="1:10" ht="12.75">
      <c r="A3" s="5">
        <f>PRRAS!I20</f>
        <v>2</v>
      </c>
      <c r="B3" s="5">
        <f>PRRAS!J20</f>
        <v>57714</v>
      </c>
      <c r="C3" s="5">
        <f>PRRAS!K20</f>
        <v>31439</v>
      </c>
      <c r="D3" s="8">
        <v>0</v>
      </c>
      <c r="E3" s="8">
        <v>0</v>
      </c>
      <c r="F3" s="7">
        <f>A3/100*B3+A3/50*C3</f>
        <v>2411.84</v>
      </c>
      <c r="G3" s="6" t="str">
        <f>TEXT(INT(VALUE(RefStr!J11)),"00000000")</f>
        <v>01752235</v>
      </c>
      <c r="I3" s="9" t="s">
        <v>2211</v>
      </c>
      <c r="J3" s="8">
        <f t="shared" si="0"/>
        <v>0</v>
      </c>
    </row>
    <row r="4" spans="1:10" ht="12.75">
      <c r="A4" s="5">
        <f>PRRAS!I21</f>
        <v>3</v>
      </c>
      <c r="B4" s="5">
        <f>PRRAS!J21</f>
        <v>57714</v>
      </c>
      <c r="C4" s="5">
        <f>PRRAS!K21</f>
        <v>31439</v>
      </c>
      <c r="D4" s="8">
        <v>0</v>
      </c>
      <c r="E4" s="8">
        <v>0</v>
      </c>
      <c r="F4" s="7">
        <f>A4/100*B4+A4/50*C4</f>
        <v>3617.7599999999998</v>
      </c>
      <c r="G4" s="6" t="str">
        <f>IF(ISERROR(RefStr!C7),"-",UPPER(TRIM(RefStr!C7)))</f>
        <v>CENTAR ZA DEMOKRACIJU I PRAVO MIKO TRIPALO</v>
      </c>
      <c r="I4" s="9" t="s">
        <v>2212</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2213</v>
      </c>
      <c r="J5" s="8">
        <f t="shared" si="0"/>
        <v>0</v>
      </c>
    </row>
    <row r="6" spans="1:10" ht="12.75">
      <c r="A6" s="5">
        <f>PRRAS!I23</f>
        <v>5</v>
      </c>
      <c r="B6" s="5">
        <f>PRRAS!J23</f>
        <v>200</v>
      </c>
      <c r="C6" s="5">
        <f>PRRAS!K23</f>
        <v>0</v>
      </c>
      <c r="D6" s="8">
        <v>0</v>
      </c>
      <c r="E6" s="8">
        <v>0</v>
      </c>
      <c r="F6" s="7">
        <f t="shared" si="1"/>
        <v>10</v>
      </c>
      <c r="G6" s="6" t="str">
        <f>IF(ISERROR(RefStr!E9),"-",UPPER(TRIM(RefStr!E9)))</f>
        <v>ZAGREB</v>
      </c>
      <c r="I6" s="9" t="s">
        <v>2214</v>
      </c>
      <c r="J6" s="8">
        <f t="shared" si="0"/>
        <v>0</v>
      </c>
    </row>
    <row r="7" spans="1:10" ht="12.75">
      <c r="A7" s="5">
        <f>PRRAS!I24</f>
        <v>6</v>
      </c>
      <c r="B7" s="5">
        <f>PRRAS!J24</f>
        <v>200</v>
      </c>
      <c r="C7" s="5">
        <f>PRRAS!K24</f>
        <v>0</v>
      </c>
      <c r="D7" s="8">
        <v>0</v>
      </c>
      <c r="E7" s="8">
        <v>0</v>
      </c>
      <c r="F7" s="7">
        <f t="shared" si="1"/>
        <v>12</v>
      </c>
      <c r="G7" s="6" t="str">
        <f>IF(ISERROR(RefStr!C11),"-",(TRIM(RefStr!C11)))</f>
        <v>Ilica 5/II</v>
      </c>
      <c r="I7" s="9" t="s">
        <v>2215</v>
      </c>
      <c r="J7" s="8">
        <f t="shared" si="0"/>
        <v>0</v>
      </c>
    </row>
    <row r="8" spans="1:10" ht="12.75">
      <c r="A8" s="5">
        <f>PRRAS!I25</f>
        <v>7</v>
      </c>
      <c r="B8" s="5">
        <f>PRRAS!J25</f>
        <v>0</v>
      </c>
      <c r="C8" s="5">
        <f>PRRAS!K25</f>
        <v>0</v>
      </c>
      <c r="D8" s="8">
        <v>0</v>
      </c>
      <c r="E8" s="8">
        <v>0</v>
      </c>
      <c r="F8" s="7">
        <f t="shared" si="1"/>
        <v>0</v>
      </c>
      <c r="G8" s="6" t="str">
        <f>TEXT(INT(VALUE(RefStr!C15)),"0000")</f>
        <v>9499</v>
      </c>
      <c r="I8" s="9" t="s">
        <v>2216</v>
      </c>
      <c r="J8" s="8">
        <f t="shared" si="0"/>
        <v>0</v>
      </c>
    </row>
    <row r="9" spans="1:10" ht="12.75">
      <c r="A9" s="5">
        <f>PRRAS!I26</f>
        <v>8</v>
      </c>
      <c r="B9" s="5">
        <f>PRRAS!J26</f>
        <v>0</v>
      </c>
      <c r="C9" s="5">
        <f>PRRAS!K26</f>
        <v>8233</v>
      </c>
      <c r="D9" s="8">
        <v>0</v>
      </c>
      <c r="E9" s="8">
        <v>0</v>
      </c>
      <c r="F9" s="7">
        <f t="shared" si="1"/>
        <v>1317.28</v>
      </c>
      <c r="G9" s="6" t="str">
        <f>IF(RefStr!J17&lt;&gt;"",TEXT(INT(VALUE(RefStr!J17)),"00"),"00")</f>
        <v>21</v>
      </c>
      <c r="I9" s="9" t="s">
        <v>2217</v>
      </c>
      <c r="J9" s="8">
        <f t="shared" si="0"/>
        <v>0</v>
      </c>
    </row>
    <row r="10" spans="1:10" ht="12.75">
      <c r="A10" s="5">
        <f>PRRAS!I27</f>
        <v>9</v>
      </c>
      <c r="B10" s="5">
        <f>PRRAS!J27</f>
        <v>0</v>
      </c>
      <c r="C10" s="5">
        <f>PRRAS!K27</f>
        <v>8233</v>
      </c>
      <c r="D10" s="8">
        <v>0</v>
      </c>
      <c r="E10" s="8">
        <v>0</v>
      </c>
      <c r="F10" s="7">
        <f t="shared" si="1"/>
        <v>1481.94</v>
      </c>
      <c r="G10" s="6" t="str">
        <f>TEXT(INT(VALUE(RefStr!C17)),"000")</f>
        <v>133</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23</v>
      </c>
      <c r="C12" s="5">
        <f>PRRAS!K29</f>
        <v>20</v>
      </c>
      <c r="D12" s="8">
        <v>0</v>
      </c>
      <c r="E12" s="8">
        <v>0</v>
      </c>
      <c r="F12" s="7">
        <f t="shared" si="1"/>
        <v>6.93</v>
      </c>
      <c r="G12" s="6" t="s">
        <v>475</v>
      </c>
      <c r="I12" s="11" t="s">
        <v>2999</v>
      </c>
      <c r="J12" s="8">
        <f t="shared" si="0"/>
        <v>0</v>
      </c>
    </row>
    <row r="13" spans="1:10" ht="12.75">
      <c r="A13" s="5">
        <f>PRRAS!I30</f>
        <v>12</v>
      </c>
      <c r="B13" s="5">
        <f>PRRAS!J30</f>
        <v>23</v>
      </c>
      <c r="C13" s="5">
        <f>PRRAS!K30</f>
        <v>20</v>
      </c>
      <c r="D13" s="8">
        <v>0</v>
      </c>
      <c r="E13" s="8">
        <v>0</v>
      </c>
      <c r="F13" s="7">
        <f t="shared" si="1"/>
        <v>7.56</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12</v>
      </c>
      <c r="C16" s="5">
        <f>PRRAS!K33</f>
        <v>7</v>
      </c>
      <c r="D16" s="8">
        <v>0</v>
      </c>
      <c r="E16" s="8">
        <v>0</v>
      </c>
      <c r="F16" s="7">
        <f t="shared" si="1"/>
        <v>3.9</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11</v>
      </c>
      <c r="C18" s="5">
        <f>PRRAS!K35</f>
        <v>13</v>
      </c>
      <c r="D18" s="8">
        <v>0</v>
      </c>
      <c r="E18" s="8">
        <v>0</v>
      </c>
      <c r="F18" s="7">
        <f t="shared" si="1"/>
        <v>6.29</v>
      </c>
      <c r="G18" s="6" t="str">
        <f>IF(ISERROR(RefStr!D39),"-",UPPER(TRIM(RefStr!D39)))</f>
        <v>TVRTKO JAKOVINA</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VLATKA ZGURIĆ DOBRENIĆ</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016127167</v>
      </c>
      <c r="I21" s="9" t="s">
        <v>3008</v>
      </c>
      <c r="J21" s="8">
        <f t="shared" si="0"/>
        <v>0</v>
      </c>
    </row>
    <row r="22" spans="1:10" ht="12.75">
      <c r="A22" s="5">
        <f>PRRAS!I39</f>
        <v>21</v>
      </c>
      <c r="B22" s="5">
        <f>PRRAS!J39</f>
        <v>0</v>
      </c>
      <c r="C22" s="5">
        <f>PRRAS!K39</f>
        <v>0</v>
      </c>
      <c r="D22" s="8">
        <v>0</v>
      </c>
      <c r="E22" s="8">
        <v>0</v>
      </c>
      <c r="F22" s="7">
        <f t="shared" si="1"/>
        <v>0</v>
      </c>
      <c r="G22" s="6" t="str">
        <f>IF(ISERROR(RefStr!D47),"-",UPPER(TRIM(RefStr!D47)))</f>
        <v>016127923</v>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vlatka.zguric@fina.hr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285176</v>
      </c>
      <c r="C25" s="5">
        <f>PRRAS!K42</f>
        <v>208167</v>
      </c>
      <c r="D25" s="8">
        <v>0</v>
      </c>
      <c r="E25" s="8">
        <v>0</v>
      </c>
      <c r="F25" s="7">
        <f t="shared" si="1"/>
        <v>168362.4</v>
      </c>
      <c r="I25" s="11" t="s">
        <v>3012</v>
      </c>
      <c r="J25" s="8">
        <f t="shared" si="0"/>
        <v>0</v>
      </c>
    </row>
    <row r="26" spans="1:10" ht="12.75">
      <c r="A26" s="5">
        <f>PRRAS!I43</f>
        <v>25</v>
      </c>
      <c r="B26" s="5">
        <f>PRRAS!J43</f>
        <v>15000</v>
      </c>
      <c r="C26" s="5">
        <f>PRRAS!K43</f>
        <v>43160</v>
      </c>
      <c r="D26" s="8">
        <v>0</v>
      </c>
      <c r="E26" s="8">
        <v>0</v>
      </c>
      <c r="F26" s="7">
        <f t="shared" si="1"/>
        <v>25330</v>
      </c>
      <c r="G26" s="6" t="str">
        <f>MID(TRIM(RefStr!J15),1,4)</f>
        <v>2021</v>
      </c>
      <c r="I26" s="9" t="s">
        <v>3013</v>
      </c>
      <c r="J26" s="8">
        <f t="shared" si="0"/>
        <v>0</v>
      </c>
    </row>
    <row r="27" spans="1:10" ht="12.75">
      <c r="A27" s="5">
        <f>PRRAS!I44</f>
        <v>26</v>
      </c>
      <c r="B27" s="5">
        <f>PRRAS!J44</f>
        <v>0</v>
      </c>
      <c r="C27" s="5">
        <f>PRRAS!K44</f>
        <v>43160</v>
      </c>
      <c r="D27" s="8">
        <v>0</v>
      </c>
      <c r="E27" s="8">
        <v>0</v>
      </c>
      <c r="F27" s="7">
        <f t="shared" si="1"/>
        <v>22443.2</v>
      </c>
      <c r="G27" s="234">
        <f>SUM(F2:F172)</f>
        <v>10035405.37</v>
      </c>
      <c r="I27" s="9" t="s">
        <v>463</v>
      </c>
      <c r="J27" s="8">
        <f t="shared" si="0"/>
        <v>0</v>
      </c>
    </row>
    <row r="28" spans="1:10" ht="12.75">
      <c r="A28" s="5">
        <f>PRRAS!I45</f>
        <v>27</v>
      </c>
      <c r="B28" s="5">
        <f>PRRAS!J45</f>
        <v>15000</v>
      </c>
      <c r="C28" s="5">
        <f>PRRAS!K45</f>
        <v>0</v>
      </c>
      <c r="D28" s="8">
        <v>0</v>
      </c>
      <c r="E28" s="8">
        <v>0</v>
      </c>
      <c r="F28" s="7">
        <f t="shared" si="1"/>
        <v>4050.0000000000005</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97132</v>
      </c>
      <c r="C31" s="5">
        <f>PRRAS!K48</f>
        <v>0</v>
      </c>
      <c r="D31" s="8">
        <v>0</v>
      </c>
      <c r="E31" s="8">
        <v>0</v>
      </c>
      <c r="F31" s="7">
        <f t="shared" si="1"/>
        <v>29139.6</v>
      </c>
      <c r="G31" s="6">
        <v>707</v>
      </c>
      <c r="I31" s="9" t="s">
        <v>467</v>
      </c>
      <c r="J31" s="8">
        <f t="shared" si="0"/>
        <v>0</v>
      </c>
    </row>
    <row r="32" spans="1:10" ht="12.75">
      <c r="A32" s="5">
        <f>PRRAS!I49</f>
        <v>31</v>
      </c>
      <c r="B32" s="5">
        <f>PRRAS!J49</f>
        <v>97132</v>
      </c>
      <c r="C32" s="5">
        <f>PRRAS!K49</f>
        <v>0</v>
      </c>
      <c r="D32" s="8">
        <v>0</v>
      </c>
      <c r="E32" s="8">
        <v>0</v>
      </c>
      <c r="F32" s="7">
        <f t="shared" si="1"/>
        <v>30110.92</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150000</v>
      </c>
      <c r="C34" s="5">
        <f>PRRAS!K51</f>
        <v>150000</v>
      </c>
      <c r="D34" s="8">
        <v>0</v>
      </c>
      <c r="E34" s="8">
        <v>0</v>
      </c>
      <c r="F34" s="7">
        <f t="shared" si="1"/>
        <v>148500</v>
      </c>
      <c r="G34" s="6">
        <v>0</v>
      </c>
      <c r="I34" s="9" t="s">
        <v>470</v>
      </c>
      <c r="J34" s="8">
        <f aca="true" t="shared" si="2" ref="J34:J63">ABS(B34-ROUND(B34,0))+ABS(C34-ROUND(C34,0))</f>
        <v>0</v>
      </c>
    </row>
    <row r="35" spans="1:10" ht="12.75">
      <c r="A35" s="5">
        <f>PRRAS!I52</f>
        <v>34</v>
      </c>
      <c r="B35" s="5">
        <f>PRRAS!J52</f>
        <v>150000</v>
      </c>
      <c r="C35" s="5">
        <f>PRRAS!K52</f>
        <v>150000</v>
      </c>
      <c r="D35" s="8">
        <v>0</v>
      </c>
      <c r="E35" s="8">
        <v>0</v>
      </c>
      <c r="F35" s="7">
        <f t="shared" si="1"/>
        <v>153000.00000000003</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23044</v>
      </c>
      <c r="C37" s="5">
        <f>PRRAS!K54</f>
        <v>15007</v>
      </c>
      <c r="D37" s="8">
        <v>0</v>
      </c>
      <c r="E37" s="8">
        <v>0</v>
      </c>
      <c r="F37" s="7">
        <f t="shared" si="1"/>
        <v>19100.879999999997</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39816322504</v>
      </c>
      <c r="I38" s="9" t="s">
        <v>291</v>
      </c>
      <c r="J38" s="8">
        <f t="shared" si="2"/>
        <v>0</v>
      </c>
    </row>
    <row r="39" spans="1:10" ht="12.75">
      <c r="A39" s="5">
        <f>PRRAS!I56</f>
        <v>38</v>
      </c>
      <c r="B39" s="5">
        <f>PRRAS!J56</f>
        <v>0</v>
      </c>
      <c r="C39" s="5">
        <f>PRRAS!K56</f>
        <v>0</v>
      </c>
      <c r="D39" s="8">
        <v>0</v>
      </c>
      <c r="E39" s="8">
        <v>0</v>
      </c>
      <c r="F39" s="7">
        <f t="shared" si="1"/>
        <v>0</v>
      </c>
      <c r="G39" s="6" t="str">
        <f>TEXT(INT(VALUE(RefStr!J9)),"00000")</f>
        <v>65102</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0</v>
      </c>
      <c r="C41" s="5">
        <f>PRRAS!K58</f>
        <v>0</v>
      </c>
      <c r="D41" s="8">
        <v>0</v>
      </c>
      <c r="E41" s="8">
        <v>0</v>
      </c>
      <c r="F41" s="7">
        <f t="shared" si="1"/>
        <v>0</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36750651.37999999</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253576</v>
      </c>
      <c r="C55" s="5">
        <f>PRRAS!K73</f>
        <v>310917</v>
      </c>
      <c r="D55" s="8">
        <v>0</v>
      </c>
      <c r="E55" s="8">
        <v>0</v>
      </c>
      <c r="F55" s="7">
        <f t="shared" si="1"/>
        <v>472721.4</v>
      </c>
      <c r="J55" s="8">
        <f t="shared" si="2"/>
        <v>0</v>
      </c>
    </row>
    <row r="56" spans="1:10" ht="12.75">
      <c r="A56" s="5">
        <f>PRRAS!I74</f>
        <v>55</v>
      </c>
      <c r="B56" s="5">
        <f>PRRAS!J74</f>
        <v>149069</v>
      </c>
      <c r="C56" s="5">
        <f>PRRAS!K74</f>
        <v>205130</v>
      </c>
      <c r="D56" s="8">
        <v>0</v>
      </c>
      <c r="E56" s="8">
        <v>0</v>
      </c>
      <c r="F56" s="7">
        <f t="shared" si="1"/>
        <v>307630.95000000007</v>
      </c>
      <c r="J56" s="8">
        <f t="shared" si="2"/>
        <v>0</v>
      </c>
    </row>
    <row r="57" spans="1:10" ht="12.75">
      <c r="A57" s="5">
        <f>PRRAS!I75</f>
        <v>56</v>
      </c>
      <c r="B57" s="5">
        <f>PRRAS!J75</f>
        <v>120301</v>
      </c>
      <c r="C57" s="5">
        <f>PRRAS!K75</f>
        <v>153760</v>
      </c>
      <c r="D57" s="8">
        <v>0</v>
      </c>
      <c r="E57" s="8">
        <v>0</v>
      </c>
      <c r="F57" s="7">
        <f t="shared" si="1"/>
        <v>239579.76</v>
      </c>
      <c r="J57" s="8">
        <f t="shared" si="2"/>
        <v>0</v>
      </c>
    </row>
    <row r="58" spans="1:10" ht="12.75">
      <c r="A58" s="5">
        <f>PRRAS!I76</f>
        <v>57</v>
      </c>
      <c r="B58" s="5">
        <f>PRRAS!J76</f>
        <v>120301</v>
      </c>
      <c r="C58" s="5">
        <f>PRRAS!K76</f>
        <v>153760</v>
      </c>
      <c r="D58" s="8">
        <v>0</v>
      </c>
      <c r="E58" s="8">
        <v>0</v>
      </c>
      <c r="F58" s="7">
        <f t="shared" si="1"/>
        <v>243857.96999999997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13000</v>
      </c>
      <c r="C62" s="5">
        <f>PRRAS!K80</f>
        <v>26000</v>
      </c>
      <c r="D62" s="8">
        <v>0</v>
      </c>
      <c r="E62" s="8">
        <v>0</v>
      </c>
      <c r="F62" s="7">
        <f t="shared" si="1"/>
        <v>39650</v>
      </c>
      <c r="J62" s="8">
        <f t="shared" si="2"/>
        <v>0</v>
      </c>
    </row>
    <row r="63" spans="1:10" ht="12.75">
      <c r="A63" s="5">
        <f>PRRAS!I81</f>
        <v>62</v>
      </c>
      <c r="B63" s="5">
        <f>PRRAS!J81</f>
        <v>15768</v>
      </c>
      <c r="C63" s="5">
        <f>PRRAS!K81</f>
        <v>25370</v>
      </c>
      <c r="D63" s="8">
        <v>0</v>
      </c>
      <c r="E63" s="8">
        <v>0</v>
      </c>
      <c r="F63" s="7">
        <f t="shared" si="1"/>
        <v>41234.96</v>
      </c>
      <c r="J63" s="8">
        <f t="shared" si="2"/>
        <v>0</v>
      </c>
    </row>
    <row r="64" spans="1:10" ht="12.75">
      <c r="A64" s="5">
        <f>PRRAS!I82</f>
        <v>63</v>
      </c>
      <c r="B64" s="5">
        <f>PRRAS!J82</f>
        <v>15768</v>
      </c>
      <c r="C64" s="5">
        <f>PRRAS!K82</f>
        <v>25370</v>
      </c>
      <c r="D64" s="8">
        <v>0</v>
      </c>
      <c r="E64" s="8">
        <v>0</v>
      </c>
      <c r="F64" s="7">
        <f t="shared" si="1"/>
        <v>41900.04</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99336</v>
      </c>
      <c r="C68" s="5">
        <f>PRRAS!K86</f>
        <v>101989</v>
      </c>
      <c r="D68" s="8">
        <v>0</v>
      </c>
      <c r="E68" s="8">
        <v>0</v>
      </c>
      <c r="F68" s="7">
        <f aca="true" t="shared" si="4" ref="F68:F131">A68/100*B68+A68/50*C68</f>
        <v>203220.38</v>
      </c>
      <c r="J68" s="8">
        <f t="shared" si="3"/>
        <v>0</v>
      </c>
    </row>
    <row r="69" spans="1:10" ht="12.75">
      <c r="A69" s="5">
        <f>PRRAS!I87</f>
        <v>68</v>
      </c>
      <c r="B69" s="5">
        <f>PRRAS!J87</f>
        <v>3532</v>
      </c>
      <c r="C69" s="5">
        <f>PRRAS!K87</f>
        <v>8950</v>
      </c>
      <c r="D69" s="8">
        <v>0</v>
      </c>
      <c r="E69" s="8">
        <v>0</v>
      </c>
      <c r="F69" s="7">
        <f t="shared" si="4"/>
        <v>14573.76</v>
      </c>
      <c r="J69" s="8">
        <f t="shared" si="3"/>
        <v>0</v>
      </c>
    </row>
    <row r="70" spans="1:10" ht="12.75">
      <c r="A70" s="5">
        <f>PRRAS!I88</f>
        <v>69</v>
      </c>
      <c r="B70" s="5">
        <f>PRRAS!J88</f>
        <v>400</v>
      </c>
      <c r="C70" s="5">
        <f>PRRAS!K88</f>
        <v>5818</v>
      </c>
      <c r="D70" s="8">
        <v>0</v>
      </c>
      <c r="E70" s="8">
        <v>0</v>
      </c>
      <c r="F70" s="7">
        <f t="shared" si="4"/>
        <v>8304.84</v>
      </c>
      <c r="J70" s="8">
        <f t="shared" si="3"/>
        <v>0</v>
      </c>
    </row>
    <row r="71" spans="1:10" ht="12.75">
      <c r="A71" s="5">
        <f>PRRAS!I89</f>
        <v>70</v>
      </c>
      <c r="B71" s="5">
        <f>PRRAS!J89</f>
        <v>3132</v>
      </c>
      <c r="C71" s="5">
        <f>PRRAS!K89</f>
        <v>3132</v>
      </c>
      <c r="D71" s="8">
        <v>0</v>
      </c>
      <c r="E71" s="8">
        <v>0</v>
      </c>
      <c r="F71" s="7">
        <f t="shared" si="4"/>
        <v>6577.199999999999</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200</v>
      </c>
      <c r="C73" s="5">
        <f>PRRAS!K91</f>
        <v>0</v>
      </c>
      <c r="D73" s="8">
        <v>0</v>
      </c>
      <c r="E73" s="8">
        <v>0</v>
      </c>
      <c r="F73" s="7">
        <f t="shared" si="4"/>
        <v>144</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200</v>
      </c>
      <c r="C75" s="5">
        <f>PRRAS!K93</f>
        <v>0</v>
      </c>
      <c r="D75" s="8">
        <v>0</v>
      </c>
      <c r="E75" s="8">
        <v>0</v>
      </c>
      <c r="F75" s="7">
        <f t="shared" si="4"/>
        <v>148</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13149</v>
      </c>
      <c r="C83" s="5">
        <f>PRRAS!K101</f>
        <v>30240</v>
      </c>
      <c r="D83" s="8">
        <v>0</v>
      </c>
      <c r="E83" s="8">
        <v>0</v>
      </c>
      <c r="F83" s="7">
        <f t="shared" si="4"/>
        <v>60375.78</v>
      </c>
      <c r="J83" s="8">
        <f t="shared" si="3"/>
        <v>0</v>
      </c>
    </row>
    <row r="84" spans="1:10" ht="12.75">
      <c r="A84" s="5">
        <f>PRRAS!I102</f>
        <v>83</v>
      </c>
      <c r="B84" s="5">
        <f>PRRAS!J102</f>
        <v>12949</v>
      </c>
      <c r="C84" s="5">
        <f>PRRAS!K102</f>
        <v>29840</v>
      </c>
      <c r="D84" s="8">
        <v>0</v>
      </c>
      <c r="E84" s="8">
        <v>0</v>
      </c>
      <c r="F84" s="7">
        <f t="shared" si="4"/>
        <v>60282.06999999999</v>
      </c>
      <c r="J84" s="8">
        <f t="shared" si="3"/>
        <v>0</v>
      </c>
    </row>
    <row r="85" spans="1:10" ht="12.75">
      <c r="A85" s="5">
        <f>PRRAS!I103</f>
        <v>84</v>
      </c>
      <c r="B85" s="5">
        <f>PRRAS!J103</f>
        <v>200</v>
      </c>
      <c r="C85" s="5">
        <f>PRRAS!K103</f>
        <v>400</v>
      </c>
      <c r="D85" s="8">
        <v>0</v>
      </c>
      <c r="E85" s="8">
        <v>0</v>
      </c>
      <c r="F85" s="7">
        <f t="shared" si="4"/>
        <v>840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73611</v>
      </c>
      <c r="C88" s="5">
        <f>PRRAS!K106</f>
        <v>41005</v>
      </c>
      <c r="D88" s="8">
        <v>0</v>
      </c>
      <c r="E88" s="8">
        <v>0</v>
      </c>
      <c r="F88" s="7">
        <f t="shared" si="4"/>
        <v>135390.27</v>
      </c>
      <c r="J88" s="8">
        <f t="shared" si="3"/>
        <v>0</v>
      </c>
    </row>
    <row r="89" spans="1:10" ht="12.75">
      <c r="A89" s="5">
        <f>PRRAS!I107</f>
        <v>88</v>
      </c>
      <c r="B89" s="5">
        <f>PRRAS!J107</f>
        <v>8886</v>
      </c>
      <c r="C89" s="5">
        <f>PRRAS!K107</f>
        <v>8722</v>
      </c>
      <c r="D89" s="8">
        <v>0</v>
      </c>
      <c r="E89" s="8">
        <v>0</v>
      </c>
      <c r="F89" s="7">
        <f t="shared" si="4"/>
        <v>23170.4</v>
      </c>
      <c r="J89" s="8">
        <f t="shared" si="3"/>
        <v>0</v>
      </c>
    </row>
    <row r="90" spans="1:10" ht="12.75">
      <c r="A90" s="5">
        <f>PRRAS!I108</f>
        <v>89</v>
      </c>
      <c r="B90" s="5">
        <f>PRRAS!J108</f>
        <v>1288</v>
      </c>
      <c r="C90" s="5">
        <f>PRRAS!K108</f>
        <v>1675</v>
      </c>
      <c r="D90" s="8">
        <v>0</v>
      </c>
      <c r="E90" s="8">
        <v>0</v>
      </c>
      <c r="F90" s="7">
        <f t="shared" si="4"/>
        <v>4127.82</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11594</v>
      </c>
      <c r="C92" s="5">
        <f>PRRAS!K110</f>
        <v>14958</v>
      </c>
      <c r="D92" s="8">
        <v>0</v>
      </c>
      <c r="E92" s="8">
        <v>0</v>
      </c>
      <c r="F92" s="7">
        <f t="shared" si="4"/>
        <v>37774.100000000006</v>
      </c>
      <c r="J92" s="8">
        <f t="shared" si="3"/>
        <v>0</v>
      </c>
    </row>
    <row r="93" spans="1:10" ht="12.75">
      <c r="A93" s="5">
        <f>PRRAS!I111</f>
        <v>92</v>
      </c>
      <c r="B93" s="5">
        <f>PRRAS!J111</f>
        <v>10487</v>
      </c>
      <c r="C93" s="5">
        <f>PRRAS!K111</f>
        <v>5950</v>
      </c>
      <c r="D93" s="8">
        <v>0</v>
      </c>
      <c r="E93" s="8">
        <v>0</v>
      </c>
      <c r="F93" s="7">
        <f t="shared" si="4"/>
        <v>20596.04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11900</v>
      </c>
      <c r="C95" s="5">
        <f>PRRAS!K113</f>
        <v>7500</v>
      </c>
      <c r="D95" s="8">
        <v>0</v>
      </c>
      <c r="E95" s="8">
        <v>0</v>
      </c>
      <c r="F95" s="7">
        <f t="shared" si="4"/>
        <v>25286</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29456</v>
      </c>
      <c r="C97" s="5">
        <f>PRRAS!K115</f>
        <v>2200</v>
      </c>
      <c r="D97" s="8">
        <v>0</v>
      </c>
      <c r="E97" s="8">
        <v>0</v>
      </c>
      <c r="F97" s="7">
        <f t="shared" si="4"/>
        <v>32501.76</v>
      </c>
      <c r="J97" s="8">
        <f t="shared" si="5"/>
        <v>0</v>
      </c>
    </row>
    <row r="98" spans="1:10" ht="12.75">
      <c r="A98" s="5">
        <f>PRRAS!I116</f>
        <v>97</v>
      </c>
      <c r="B98" s="5">
        <f>PRRAS!J116</f>
        <v>5067</v>
      </c>
      <c r="C98" s="5">
        <f>PRRAS!K116</f>
        <v>15315</v>
      </c>
      <c r="D98" s="8">
        <v>0</v>
      </c>
      <c r="E98" s="8">
        <v>0</v>
      </c>
      <c r="F98" s="7">
        <f t="shared" si="4"/>
        <v>34626.09</v>
      </c>
      <c r="J98" s="8">
        <f t="shared" si="5"/>
        <v>0</v>
      </c>
    </row>
    <row r="99" spans="1:10" ht="12.75">
      <c r="A99" s="5">
        <f>PRRAS!I117</f>
        <v>98</v>
      </c>
      <c r="B99" s="5">
        <f>PRRAS!J117</f>
        <v>2335</v>
      </c>
      <c r="C99" s="5">
        <f>PRRAS!K117</f>
        <v>1146</v>
      </c>
      <c r="D99" s="8">
        <v>0</v>
      </c>
      <c r="E99" s="8">
        <v>0</v>
      </c>
      <c r="F99" s="7">
        <f t="shared" si="4"/>
        <v>4534.46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2732</v>
      </c>
      <c r="C101" s="5">
        <f>PRRAS!K119</f>
        <v>10350</v>
      </c>
      <c r="D101" s="8">
        <v>0</v>
      </c>
      <c r="E101" s="8">
        <v>0</v>
      </c>
      <c r="F101" s="7">
        <f t="shared" si="4"/>
        <v>23432</v>
      </c>
      <c r="J101" s="8">
        <f t="shared" si="5"/>
        <v>0</v>
      </c>
    </row>
    <row r="102" spans="1:10" ht="12.75">
      <c r="A102" s="5">
        <f>PRRAS!I120</f>
        <v>101</v>
      </c>
      <c r="B102" s="5">
        <f>PRRAS!J120</f>
        <v>0</v>
      </c>
      <c r="C102" s="5">
        <f>PRRAS!K120</f>
        <v>3819</v>
      </c>
      <c r="D102" s="8">
        <v>0</v>
      </c>
      <c r="E102" s="8">
        <v>0</v>
      </c>
      <c r="F102" s="7">
        <f t="shared" si="4"/>
        <v>7714.38</v>
      </c>
      <c r="J102" s="8">
        <f t="shared" si="5"/>
        <v>0</v>
      </c>
    </row>
    <row r="103" spans="1:10" ht="12.75">
      <c r="A103" s="5">
        <f>PRRAS!I121</f>
        <v>102</v>
      </c>
      <c r="B103" s="5">
        <f>PRRAS!J121</f>
        <v>3777</v>
      </c>
      <c r="C103" s="5">
        <f>PRRAS!K121</f>
        <v>6479</v>
      </c>
      <c r="D103" s="8">
        <v>0</v>
      </c>
      <c r="E103" s="8">
        <v>0</v>
      </c>
      <c r="F103" s="7">
        <f t="shared" si="4"/>
        <v>17069.7</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5949</v>
      </c>
      <c r="D106" s="8">
        <v>0</v>
      </c>
      <c r="E106" s="8">
        <v>0</v>
      </c>
      <c r="F106" s="7">
        <f t="shared" si="4"/>
        <v>12492.9</v>
      </c>
      <c r="J106" s="8">
        <f t="shared" si="5"/>
        <v>0</v>
      </c>
    </row>
    <row r="107" spans="1:10" ht="12.75">
      <c r="A107" s="5">
        <f>PRRAS!I125</f>
        <v>106</v>
      </c>
      <c r="B107" s="5">
        <f>PRRAS!J125</f>
        <v>0</v>
      </c>
      <c r="C107" s="5">
        <f>PRRAS!K125</f>
        <v>395</v>
      </c>
      <c r="D107" s="8">
        <v>0</v>
      </c>
      <c r="E107" s="8">
        <v>0</v>
      </c>
      <c r="F107" s="7">
        <f t="shared" si="4"/>
        <v>837.4000000000001</v>
      </c>
      <c r="J107" s="8">
        <f t="shared" si="5"/>
        <v>0</v>
      </c>
    </row>
    <row r="108" spans="1:10" ht="12.75">
      <c r="A108" s="5">
        <f>PRRAS!I126</f>
        <v>107</v>
      </c>
      <c r="B108" s="5">
        <f>PRRAS!J126</f>
        <v>3777</v>
      </c>
      <c r="C108" s="5">
        <f>PRRAS!K126</f>
        <v>135</v>
      </c>
      <c r="D108" s="8">
        <v>0</v>
      </c>
      <c r="E108" s="8">
        <v>0</v>
      </c>
      <c r="F108" s="7">
        <f t="shared" si="4"/>
        <v>4330.29</v>
      </c>
      <c r="J108" s="8">
        <f t="shared" si="5"/>
        <v>0</v>
      </c>
    </row>
    <row r="109" spans="1:10" ht="12.75">
      <c r="A109" s="5">
        <f>PRRAS!I127</f>
        <v>108</v>
      </c>
      <c r="B109" s="5">
        <f>PRRAS!J127</f>
        <v>2466</v>
      </c>
      <c r="C109" s="5">
        <f>PRRAS!K127</f>
        <v>1601</v>
      </c>
      <c r="D109" s="8">
        <v>0</v>
      </c>
      <c r="E109" s="8">
        <v>0</v>
      </c>
      <c r="F109" s="7">
        <f t="shared" si="4"/>
        <v>6121.4400000000005</v>
      </c>
      <c r="J109" s="8">
        <f t="shared" si="5"/>
        <v>0</v>
      </c>
    </row>
    <row r="110" spans="1:10" ht="12.75">
      <c r="A110" s="5">
        <f>PRRAS!I128</f>
        <v>109</v>
      </c>
      <c r="B110" s="5">
        <f>PRRAS!J128</f>
        <v>2453</v>
      </c>
      <c r="C110" s="5">
        <f>PRRAS!K128</f>
        <v>2197</v>
      </c>
      <c r="D110" s="8">
        <v>0</v>
      </c>
      <c r="E110" s="8">
        <v>0</v>
      </c>
      <c r="F110" s="7">
        <f t="shared" si="4"/>
        <v>7463.23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2453</v>
      </c>
      <c r="C116" s="5">
        <f>PRRAS!K134</f>
        <v>2197</v>
      </c>
      <c r="D116" s="8">
        <v>0</v>
      </c>
      <c r="E116" s="8">
        <v>0</v>
      </c>
      <c r="F116" s="7">
        <f t="shared" si="4"/>
        <v>7874.049999999999</v>
      </c>
      <c r="J116" s="8">
        <f t="shared" si="5"/>
        <v>0</v>
      </c>
    </row>
    <row r="117" spans="1:10" ht="12.75">
      <c r="A117" s="5">
        <f>PRRAS!I135</f>
        <v>116</v>
      </c>
      <c r="B117" s="5">
        <f>PRRAS!J135</f>
        <v>2026</v>
      </c>
      <c r="C117" s="5">
        <f>PRRAS!K135</f>
        <v>2068</v>
      </c>
      <c r="D117" s="8">
        <v>0</v>
      </c>
      <c r="E117" s="8">
        <v>0</v>
      </c>
      <c r="F117" s="7">
        <f t="shared" si="4"/>
        <v>7147.919999999999</v>
      </c>
      <c r="J117" s="8">
        <f t="shared" si="5"/>
        <v>0</v>
      </c>
    </row>
    <row r="118" spans="1:10" ht="12.75">
      <c r="A118" s="5">
        <f>PRRAS!I136</f>
        <v>117</v>
      </c>
      <c r="B118" s="5">
        <f>PRRAS!J136</f>
        <v>427</v>
      </c>
      <c r="C118" s="5">
        <f>PRRAS!K136</f>
        <v>129</v>
      </c>
      <c r="D118" s="8">
        <v>0</v>
      </c>
      <c r="E118" s="8">
        <v>0</v>
      </c>
      <c r="F118" s="7">
        <f t="shared" si="4"/>
        <v>801.4499999999999</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252</v>
      </c>
      <c r="C129" s="5">
        <f>PRRAS!K147</f>
        <v>0</v>
      </c>
      <c r="D129" s="8">
        <v>0</v>
      </c>
      <c r="E129" s="8">
        <v>0</v>
      </c>
      <c r="F129" s="7">
        <f t="shared" si="4"/>
        <v>322.56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252</v>
      </c>
      <c r="C135" s="5">
        <f>PRRAS!K153</f>
        <v>0</v>
      </c>
      <c r="D135" s="8">
        <v>0</v>
      </c>
      <c r="E135" s="8">
        <v>0</v>
      </c>
      <c r="F135" s="7">
        <f t="shared" si="7"/>
        <v>337.68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252</v>
      </c>
      <c r="C139" s="5">
        <f>PRRAS!K157</f>
        <v>0</v>
      </c>
      <c r="D139" s="8">
        <v>0</v>
      </c>
      <c r="E139" s="8">
        <v>0</v>
      </c>
      <c r="F139" s="7">
        <f t="shared" si="7"/>
        <v>347.76</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253576</v>
      </c>
      <c r="C149" s="5">
        <f>PRRAS!K167</f>
        <v>310917</v>
      </c>
      <c r="D149" s="8">
        <v>0</v>
      </c>
      <c r="E149" s="8">
        <v>0</v>
      </c>
      <c r="F149" s="7">
        <f t="shared" si="7"/>
        <v>1295606.7999999998</v>
      </c>
      <c r="J149" s="8">
        <f t="shared" si="6"/>
        <v>0</v>
      </c>
    </row>
    <row r="150" spans="1:10" ht="12.75">
      <c r="A150" s="5">
        <f>PRRAS!I168</f>
        <v>149</v>
      </c>
      <c r="B150" s="5">
        <f>PRRAS!J168</f>
        <v>89537</v>
      </c>
      <c r="C150" s="5">
        <f>PRRAS!K168</f>
        <v>0</v>
      </c>
      <c r="D150" s="8">
        <v>0</v>
      </c>
      <c r="E150" s="8">
        <v>0</v>
      </c>
      <c r="F150" s="7">
        <f t="shared" si="7"/>
        <v>133410.13</v>
      </c>
      <c r="J150" s="8">
        <f t="shared" si="6"/>
        <v>0</v>
      </c>
    </row>
    <row r="151" spans="1:10" ht="12.75">
      <c r="A151" s="5">
        <f>PRRAS!I169</f>
        <v>150</v>
      </c>
      <c r="B151" s="5">
        <f>PRRAS!J169</f>
        <v>0</v>
      </c>
      <c r="C151" s="5">
        <f>PRRAS!K169</f>
        <v>63058</v>
      </c>
      <c r="D151" s="8">
        <v>0</v>
      </c>
      <c r="E151" s="8">
        <v>0</v>
      </c>
      <c r="F151" s="7">
        <f t="shared" si="7"/>
        <v>189174</v>
      </c>
      <c r="J151" s="8">
        <f t="shared" si="6"/>
        <v>0</v>
      </c>
    </row>
    <row r="152" spans="1:10" ht="12.75">
      <c r="A152" s="5">
        <f>PRRAS!I170</f>
        <v>151</v>
      </c>
      <c r="B152" s="5">
        <f>PRRAS!J170</f>
        <v>70722</v>
      </c>
      <c r="C152" s="5">
        <f>PRRAS!K170</f>
        <v>160259</v>
      </c>
      <c r="D152" s="8">
        <v>0</v>
      </c>
      <c r="E152" s="8">
        <v>0</v>
      </c>
      <c r="F152" s="7">
        <f t="shared" si="7"/>
        <v>590772.4</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160259</v>
      </c>
      <c r="C155" s="5">
        <f>PRRAS!K173</f>
        <v>97201</v>
      </c>
      <c r="D155" s="8">
        <v>0</v>
      </c>
      <c r="E155" s="8">
        <v>0</v>
      </c>
      <c r="F155" s="7">
        <f t="shared" si="7"/>
        <v>546177.9400000001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86139</v>
      </c>
      <c r="C157" s="5">
        <f>PRRAS!K176</f>
        <v>170796</v>
      </c>
      <c r="D157" s="8">
        <v>0</v>
      </c>
      <c r="E157" s="8">
        <v>0</v>
      </c>
      <c r="F157" s="7">
        <f>A157/100*B157+A157/50*C157</f>
        <v>667260.36</v>
      </c>
    </row>
    <row r="158" spans="1:6" ht="12.75">
      <c r="A158" s="5">
        <f>PRRAS!I177</f>
        <v>157</v>
      </c>
      <c r="B158" s="5">
        <f>PRRAS!J177</f>
        <v>469270</v>
      </c>
      <c r="C158" s="5">
        <f>PRRAS!K177</f>
        <v>267019</v>
      </c>
      <c r="D158" s="8">
        <v>0</v>
      </c>
      <c r="E158" s="8">
        <v>0</v>
      </c>
      <c r="F158" s="7">
        <f aca="true" t="shared" si="8" ref="F158:F172">A158/100*B158+A158/50*C158</f>
        <v>1575193.56</v>
      </c>
    </row>
    <row r="159" spans="1:6" ht="12.75">
      <c r="A159" s="5">
        <f>PRRAS!I178</f>
        <v>158</v>
      </c>
      <c r="B159" s="5">
        <f>PRRAS!J178</f>
        <v>384613</v>
      </c>
      <c r="C159" s="5">
        <f>PRRAS!K178</f>
        <v>318855</v>
      </c>
      <c r="D159" s="8">
        <v>0</v>
      </c>
      <c r="E159" s="8">
        <v>0</v>
      </c>
      <c r="F159" s="7">
        <f t="shared" si="8"/>
        <v>1615270.34</v>
      </c>
    </row>
    <row r="160" spans="1:6" ht="12.75">
      <c r="A160" s="5">
        <f>PRRAS!I179</f>
        <v>159</v>
      </c>
      <c r="B160" s="5">
        <f>PRRAS!J179</f>
        <v>170796</v>
      </c>
      <c r="C160" s="5">
        <f>PRRAS!K179</f>
        <v>118960</v>
      </c>
      <c r="D160" s="8">
        <v>0</v>
      </c>
      <c r="E160" s="8">
        <v>0</v>
      </c>
      <c r="F160" s="7">
        <f t="shared" si="8"/>
        <v>649858.4400000001</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4</v>
      </c>
      <c r="D172" s="8">
        <v>0</v>
      </c>
      <c r="E172" s="8">
        <v>0</v>
      </c>
      <c r="F172" s="7">
        <f t="shared" si="8"/>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177579</v>
      </c>
      <c r="C2" s="5">
        <f>BIL!K19</f>
        <v>122686</v>
      </c>
      <c r="D2" s="8">
        <v>0</v>
      </c>
      <c r="E2" s="8">
        <v>0</v>
      </c>
      <c r="F2" s="7">
        <f aca="true" t="shared" si="0" ref="F2:F65">A2/100*B2+A2/50*C2</f>
        <v>4229.51</v>
      </c>
      <c r="G2" s="9" t="str">
        <f>TRIM(UPPER(RefStr!C13))</f>
        <v>HR9123600001101680791</v>
      </c>
      <c r="H2" s="13">
        <v>0</v>
      </c>
      <c r="I2" s="9" t="s">
        <v>2210</v>
      </c>
      <c r="J2" s="8">
        <f>ABS(B2-ROUND(B2,0))+ABS(C2-ROUND(C2,0))</f>
        <v>0</v>
      </c>
    </row>
    <row r="3" spans="1:10" ht="12.75">
      <c r="A3" s="5">
        <f>BIL!I20</f>
        <v>2</v>
      </c>
      <c r="B3" s="5">
        <f>BIL!J20</f>
        <v>5327</v>
      </c>
      <c r="C3" s="5">
        <f>BIL!K20</f>
        <v>3726</v>
      </c>
      <c r="D3" s="8">
        <v>0</v>
      </c>
      <c r="E3" s="8">
        <v>0</v>
      </c>
      <c r="F3" s="7">
        <f t="shared" si="0"/>
        <v>255.57999999999998</v>
      </c>
      <c r="G3" s="6" t="str">
        <f>TEXT(INT(VALUE(RefStr!J11)),"00000000")</f>
        <v>01752235</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DEMOKRACIJU I PRAVO MIKO TRIPALO</v>
      </c>
      <c r="I4" s="9" t="s">
        <v>2212</v>
      </c>
      <c r="J4" s="8">
        <f t="shared" si="1"/>
        <v>0</v>
      </c>
    </row>
    <row r="5" spans="1:10" ht="12.75">
      <c r="A5" s="5">
        <f>BIL!I22</f>
        <v>4</v>
      </c>
      <c r="B5" s="5">
        <f>BIL!J22</f>
        <v>0</v>
      </c>
      <c r="C5" s="5">
        <f>BIL!K22</f>
        <v>0</v>
      </c>
      <c r="D5" s="8">
        <v>0</v>
      </c>
      <c r="E5" s="8">
        <v>0</v>
      </c>
      <c r="F5" s="7">
        <f t="shared" si="0"/>
        <v>0</v>
      </c>
      <c r="G5" s="6" t="str">
        <f>TEXT(INT(VALUE(RefStr!C9)),"00000")</f>
        <v>10000</v>
      </c>
      <c r="I5" s="9" t="s">
        <v>2213</v>
      </c>
      <c r="J5" s="8">
        <f t="shared" si="1"/>
        <v>0</v>
      </c>
    </row>
    <row r="6" spans="1:10" ht="12.75">
      <c r="A6" s="5">
        <f>BIL!I23</f>
        <v>5</v>
      </c>
      <c r="B6" s="5">
        <f>BIL!J23</f>
        <v>0</v>
      </c>
      <c r="C6" s="5">
        <f>BIL!K23</f>
        <v>0</v>
      </c>
      <c r="D6" s="8">
        <v>0</v>
      </c>
      <c r="E6" s="8">
        <v>0</v>
      </c>
      <c r="F6" s="7">
        <f t="shared" si="0"/>
        <v>0</v>
      </c>
      <c r="G6" s="6" t="str">
        <f>IF(ISERROR(RefStr!E9),"-",UPPER(TRIM(RefStr!E9)))</f>
        <v>ZAGREB</v>
      </c>
      <c r="I6" s="9" t="s">
        <v>2214</v>
      </c>
      <c r="J6" s="8">
        <f t="shared" si="1"/>
        <v>0</v>
      </c>
    </row>
    <row r="7" spans="1:10" ht="12.75">
      <c r="A7" s="5">
        <f>BIL!I24</f>
        <v>6</v>
      </c>
      <c r="B7" s="5">
        <f>BIL!J24</f>
        <v>0</v>
      </c>
      <c r="C7" s="5">
        <f>BIL!K24</f>
        <v>0</v>
      </c>
      <c r="D7" s="8">
        <v>0</v>
      </c>
      <c r="E7" s="8">
        <v>0</v>
      </c>
      <c r="F7" s="7">
        <f t="shared" si="0"/>
        <v>0</v>
      </c>
      <c r="G7" s="6" t="str">
        <f>IF(ISERROR(RefStr!C11),"-",(TRIM(RefStr!C11)))</f>
        <v>Ilica 5/II</v>
      </c>
      <c r="I7" s="9" t="s">
        <v>2215</v>
      </c>
      <c r="J7" s="8">
        <f t="shared" si="1"/>
        <v>0</v>
      </c>
    </row>
    <row r="8" spans="1:10" ht="12.75">
      <c r="A8" s="5">
        <f>BIL!I25</f>
        <v>7</v>
      </c>
      <c r="B8" s="5">
        <f>BIL!J25</f>
        <v>0</v>
      </c>
      <c r="C8" s="5">
        <f>BIL!K25</f>
        <v>0</v>
      </c>
      <c r="D8" s="8">
        <v>0</v>
      </c>
      <c r="E8" s="8">
        <v>0</v>
      </c>
      <c r="F8" s="7">
        <f t="shared" si="0"/>
        <v>0</v>
      </c>
      <c r="G8" s="6" t="str">
        <f>TEXT(INT(VALUE(RefStr!C15)),"0000")</f>
        <v>9499</v>
      </c>
      <c r="I8" s="9" t="s">
        <v>2216</v>
      </c>
      <c r="J8" s="8">
        <f t="shared" si="1"/>
        <v>0</v>
      </c>
    </row>
    <row r="9" spans="1:10" ht="12.75">
      <c r="A9" s="5">
        <f>BIL!I26</f>
        <v>8</v>
      </c>
      <c r="B9" s="5">
        <f>BIL!J26</f>
        <v>0</v>
      </c>
      <c r="C9" s="5">
        <f>BIL!K26</f>
        <v>0</v>
      </c>
      <c r="D9" s="8">
        <v>0</v>
      </c>
      <c r="E9" s="8">
        <v>0</v>
      </c>
      <c r="F9" s="7">
        <f t="shared" si="0"/>
        <v>0</v>
      </c>
      <c r="G9" s="6" t="str">
        <f>IF(RefStr!J17&lt;&gt;"",TEXT(INT(VALUE(RefStr!J17)),"00"),"00")</f>
        <v>21</v>
      </c>
      <c r="I9" s="9" t="s">
        <v>2217</v>
      </c>
      <c r="J9" s="8">
        <f t="shared" si="1"/>
        <v>0</v>
      </c>
    </row>
    <row r="10" spans="1:10" ht="12.75">
      <c r="A10" s="5">
        <f>BIL!I27</f>
        <v>9</v>
      </c>
      <c r="B10" s="5">
        <f>BIL!J27</f>
        <v>0</v>
      </c>
      <c r="C10" s="5">
        <f>BIL!K27</f>
        <v>0</v>
      </c>
      <c r="D10" s="8">
        <v>0</v>
      </c>
      <c r="E10" s="8">
        <v>0</v>
      </c>
      <c r="F10" s="7">
        <f t="shared" si="0"/>
        <v>0</v>
      </c>
      <c r="G10" s="6" t="str">
        <f>TEXT(INT(VALUE(RefStr!C17)),"000")</f>
        <v>133</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TVRTKO JAKOVINA</v>
      </c>
      <c r="I18" s="11" t="s">
        <v>3005</v>
      </c>
      <c r="J18" s="8">
        <f t="shared" si="1"/>
        <v>0</v>
      </c>
    </row>
    <row r="19" spans="1:10" ht="12.75">
      <c r="A19" s="5">
        <f>BIL!I36</f>
        <v>18</v>
      </c>
      <c r="B19" s="5">
        <f>BIL!J36</f>
        <v>5327</v>
      </c>
      <c r="C19" s="5">
        <f>BIL!K36</f>
        <v>3726</v>
      </c>
      <c r="D19" s="8">
        <v>0</v>
      </c>
      <c r="E19" s="8">
        <v>0</v>
      </c>
      <c r="F19" s="7">
        <f t="shared" si="0"/>
        <v>2300.22</v>
      </c>
      <c r="I19" s="11" t="s">
        <v>3006</v>
      </c>
      <c r="J19" s="8">
        <f t="shared" si="1"/>
        <v>0</v>
      </c>
    </row>
    <row r="20" spans="1:10" ht="12.75">
      <c r="A20" s="5">
        <f>BIL!I37</f>
        <v>19</v>
      </c>
      <c r="B20" s="5">
        <f>BIL!J37</f>
        <v>0</v>
      </c>
      <c r="C20" s="5">
        <f>BIL!K37</f>
        <v>0</v>
      </c>
      <c r="D20" s="8">
        <v>0</v>
      </c>
      <c r="E20" s="8">
        <v>0</v>
      </c>
      <c r="F20" s="7">
        <f t="shared" si="0"/>
        <v>0</v>
      </c>
      <c r="G20" s="6" t="str">
        <f>IF(ISERROR(RefStr!D43),"-",UPPER(TRIM(RefStr!D43)))</f>
        <v>VLATKA ZGURIĆ DOBRENIĆ</v>
      </c>
      <c r="I20" s="9" t="s">
        <v>3007</v>
      </c>
      <c r="J20" s="8">
        <f t="shared" si="1"/>
        <v>0</v>
      </c>
    </row>
    <row r="21" spans="1:10" ht="12.75">
      <c r="A21" s="5">
        <f>BIL!I38</f>
        <v>20</v>
      </c>
      <c r="B21" s="5">
        <f>BIL!J38</f>
        <v>0</v>
      </c>
      <c r="C21" s="5">
        <f>BIL!K38</f>
        <v>0</v>
      </c>
      <c r="D21" s="8">
        <v>0</v>
      </c>
      <c r="E21" s="8">
        <v>0</v>
      </c>
      <c r="F21" s="7">
        <f t="shared" si="0"/>
        <v>0</v>
      </c>
      <c r="G21" s="6" t="str">
        <f>IF(ISERROR(RefStr!D45),"-",UPPER(TRIM(RefStr!D45)))</f>
        <v>016127167</v>
      </c>
      <c r="I21" s="9" t="s">
        <v>3008</v>
      </c>
      <c r="J21" s="8">
        <f t="shared" si="1"/>
        <v>0</v>
      </c>
    </row>
    <row r="22" spans="1:10" ht="12.75">
      <c r="A22" s="5">
        <f>BIL!I39</f>
        <v>21</v>
      </c>
      <c r="B22" s="5">
        <f>BIL!J39</f>
        <v>0</v>
      </c>
      <c r="C22" s="5">
        <f>BIL!K39</f>
        <v>0</v>
      </c>
      <c r="D22" s="8">
        <v>0</v>
      </c>
      <c r="E22" s="8">
        <v>0</v>
      </c>
      <c r="F22" s="7">
        <f t="shared" si="0"/>
        <v>0</v>
      </c>
      <c r="G22" s="6" t="str">
        <f>IF(ISERROR(RefStr!D47),"-",UPPER(TRIM(RefStr!D47)))</f>
        <v>016127923</v>
      </c>
      <c r="I22" s="11" t="s">
        <v>3009</v>
      </c>
      <c r="J22" s="8">
        <f t="shared" si="1"/>
        <v>0</v>
      </c>
    </row>
    <row r="23" spans="1:10" ht="12.75">
      <c r="A23" s="5">
        <f>BIL!I40</f>
        <v>22</v>
      </c>
      <c r="B23" s="5">
        <f>BIL!J40</f>
        <v>0</v>
      </c>
      <c r="C23" s="5">
        <f>BIL!K40</f>
        <v>0</v>
      </c>
      <c r="D23" s="8">
        <v>0</v>
      </c>
      <c r="E23" s="8">
        <v>0</v>
      </c>
      <c r="F23" s="7">
        <f t="shared" si="0"/>
        <v>0</v>
      </c>
      <c r="G23" s="6" t="str">
        <f>IF(ISERROR(RefStr!D49),"-",LOWER(TRIM(RefStr!D49)))</f>
        <v>vlatka.zguric@fina.hr</v>
      </c>
      <c r="I23" s="11" t="s">
        <v>3010</v>
      </c>
      <c r="J23" s="8">
        <f t="shared" si="1"/>
        <v>0</v>
      </c>
    </row>
    <row r="24" spans="1:10" ht="12.75">
      <c r="A24" s="5">
        <f>BIL!I41</f>
        <v>23</v>
      </c>
      <c r="B24" s="5">
        <f>BIL!J41</f>
        <v>81712</v>
      </c>
      <c r="C24" s="5">
        <f>BIL!K41</f>
        <v>81712</v>
      </c>
      <c r="D24" s="8">
        <v>0</v>
      </c>
      <c r="E24" s="8">
        <v>0</v>
      </c>
      <c r="F24" s="7">
        <f t="shared" si="0"/>
        <v>56381.280000000006</v>
      </c>
      <c r="I24" s="11" t="s">
        <v>3011</v>
      </c>
      <c r="J24" s="8">
        <f t="shared" si="1"/>
        <v>0</v>
      </c>
    </row>
    <row r="25" spans="1:10" ht="12.75">
      <c r="A25" s="5">
        <f>BIL!I42</f>
        <v>24</v>
      </c>
      <c r="B25" s="5">
        <f>BIL!J42</f>
        <v>79753</v>
      </c>
      <c r="C25" s="5">
        <f>BIL!K42</f>
        <v>79753</v>
      </c>
      <c r="D25" s="8">
        <v>0</v>
      </c>
      <c r="E25" s="8">
        <v>0</v>
      </c>
      <c r="F25" s="7">
        <f t="shared" si="0"/>
        <v>57422.15999999999</v>
      </c>
      <c r="I25" s="11" t="s">
        <v>3012</v>
      </c>
      <c r="J25" s="8">
        <f t="shared" si="1"/>
        <v>0</v>
      </c>
    </row>
    <row r="26" spans="1:10" ht="12.75">
      <c r="A26" s="5">
        <f>BIL!I43</f>
        <v>25</v>
      </c>
      <c r="B26" s="5">
        <f>BIL!J43</f>
        <v>1959</v>
      </c>
      <c r="C26" s="5">
        <f>BIL!K43</f>
        <v>1959</v>
      </c>
      <c r="D26" s="8">
        <v>0</v>
      </c>
      <c r="E26" s="8">
        <v>0</v>
      </c>
      <c r="F26" s="7">
        <f t="shared" si="0"/>
        <v>1469.25</v>
      </c>
      <c r="G26" s="6" t="str">
        <f>MID(TRIM(RefStr!J15),1,4)</f>
        <v>2021</v>
      </c>
      <c r="I26" s="9" t="s">
        <v>3013</v>
      </c>
      <c r="J26" s="8">
        <f t="shared" si="1"/>
        <v>0</v>
      </c>
    </row>
    <row r="27" spans="1:10" ht="12.75">
      <c r="A27" s="5">
        <f>BIL!I44</f>
        <v>26</v>
      </c>
      <c r="B27" s="5">
        <f>BIL!J44</f>
        <v>0</v>
      </c>
      <c r="C27" s="5">
        <f>BIL!K44</f>
        <v>0</v>
      </c>
      <c r="D27" s="8">
        <v>0</v>
      </c>
      <c r="E27" s="8">
        <v>0</v>
      </c>
      <c r="F27" s="7">
        <f t="shared" si="0"/>
        <v>0</v>
      </c>
      <c r="G27" s="234">
        <f>SUM(F2:F374)</f>
        <v>36750651.37999999</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39816322504</v>
      </c>
      <c r="I38" s="9" t="s">
        <v>291</v>
      </c>
      <c r="J38" s="8">
        <f t="shared" si="1"/>
        <v>0</v>
      </c>
    </row>
    <row r="39" spans="1:10" ht="12.75">
      <c r="A39" s="5">
        <f>BIL!I56</f>
        <v>38</v>
      </c>
      <c r="B39" s="5">
        <f>BIL!J56</f>
        <v>0</v>
      </c>
      <c r="C39" s="5">
        <f>BIL!K56</f>
        <v>0</v>
      </c>
      <c r="D39" s="8">
        <v>0</v>
      </c>
      <c r="E39" s="8">
        <v>0</v>
      </c>
      <c r="F39" s="7">
        <f t="shared" si="0"/>
        <v>0</v>
      </c>
      <c r="G39" s="6" t="str">
        <f>TEXT(INT(VALUE(RefStr!J9)),"00000")</f>
        <v>65102</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36750651.37999999</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76385</v>
      </c>
      <c r="C47" s="5">
        <f>BIL!K64</f>
        <v>77986</v>
      </c>
      <c r="D47" s="8">
        <v>0</v>
      </c>
      <c r="E47" s="8">
        <v>0</v>
      </c>
      <c r="F47" s="7">
        <f t="shared" si="0"/>
        <v>106884.22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8308</v>
      </c>
      <c r="C54" s="5">
        <f>BIL!K71</f>
        <v>12127</v>
      </c>
      <c r="D54" s="8">
        <v>0</v>
      </c>
      <c r="E54" s="8">
        <v>0</v>
      </c>
      <c r="F54" s="7">
        <f t="shared" si="0"/>
        <v>17257.86</v>
      </c>
      <c r="J54" s="8">
        <f t="shared" si="1"/>
        <v>0</v>
      </c>
    </row>
    <row r="55" spans="1:10" ht="12.75">
      <c r="A55" s="5">
        <f>BIL!I72</f>
        <v>54</v>
      </c>
      <c r="B55" s="5">
        <f>BIL!J72</f>
        <v>8308</v>
      </c>
      <c r="C55" s="5">
        <f>BIL!K72</f>
        <v>12127</v>
      </c>
      <c r="D55" s="8">
        <v>0</v>
      </c>
      <c r="E55" s="8">
        <v>0</v>
      </c>
      <c r="F55" s="7">
        <f t="shared" si="0"/>
        <v>17583.480000000003</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172252</v>
      </c>
      <c r="C75" s="5">
        <f>BIL!K92</f>
        <v>118960</v>
      </c>
      <c r="D75" s="8">
        <v>0</v>
      </c>
      <c r="E75" s="8">
        <v>0</v>
      </c>
      <c r="F75" s="7">
        <f t="shared" si="2"/>
        <v>303527.27999999997</v>
      </c>
      <c r="J75" s="8">
        <f t="shared" si="3"/>
        <v>0</v>
      </c>
    </row>
    <row r="76" spans="1:10" ht="12.75">
      <c r="A76" s="5">
        <f>BIL!I93</f>
        <v>75</v>
      </c>
      <c r="B76" s="5">
        <f>BIL!J93</f>
        <v>170796</v>
      </c>
      <c r="C76" s="5">
        <f>BIL!K93</f>
        <v>118960</v>
      </c>
      <c r="D76" s="8">
        <v>0</v>
      </c>
      <c r="E76" s="8">
        <v>0</v>
      </c>
      <c r="F76" s="7">
        <f t="shared" si="2"/>
        <v>306537</v>
      </c>
      <c r="J76" s="8">
        <f t="shared" si="3"/>
        <v>0</v>
      </c>
    </row>
    <row r="77" spans="1:10" ht="12.75">
      <c r="A77" s="5">
        <f>BIL!I94</f>
        <v>76</v>
      </c>
      <c r="B77" s="5">
        <f>BIL!J94</f>
        <v>170796</v>
      </c>
      <c r="C77" s="5">
        <f>BIL!K94</f>
        <v>118960</v>
      </c>
      <c r="D77" s="8">
        <v>0</v>
      </c>
      <c r="E77" s="8">
        <v>0</v>
      </c>
      <c r="F77" s="7">
        <f t="shared" si="2"/>
        <v>310624.16000000003</v>
      </c>
      <c r="J77" s="8">
        <f t="shared" si="3"/>
        <v>0</v>
      </c>
    </row>
    <row r="78" spans="1:10" ht="12.75">
      <c r="A78" s="5">
        <f>BIL!I95</f>
        <v>77</v>
      </c>
      <c r="B78" s="5">
        <f>BIL!J95</f>
        <v>170796</v>
      </c>
      <c r="C78" s="5">
        <f>BIL!K95</f>
        <v>118960</v>
      </c>
      <c r="D78" s="8">
        <v>0</v>
      </c>
      <c r="E78" s="8">
        <v>0</v>
      </c>
      <c r="F78" s="7">
        <f t="shared" si="2"/>
        <v>314711.32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1456</v>
      </c>
      <c r="C84" s="5">
        <f>BIL!K101</f>
        <v>0</v>
      </c>
      <c r="D84" s="8">
        <v>0</v>
      </c>
      <c r="E84" s="8">
        <v>0</v>
      </c>
      <c r="F84" s="7">
        <f t="shared" si="2"/>
        <v>1208.48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1456</v>
      </c>
      <c r="C90" s="5">
        <f>BIL!K107</f>
        <v>0</v>
      </c>
      <c r="D90" s="8">
        <v>0</v>
      </c>
      <c r="E90" s="8">
        <v>0</v>
      </c>
      <c r="F90" s="7">
        <f t="shared" si="2"/>
        <v>1295.84</v>
      </c>
      <c r="J90" s="8">
        <f t="shared" si="3"/>
        <v>0</v>
      </c>
    </row>
    <row r="91" spans="1:10" ht="12.75">
      <c r="A91" s="5">
        <f>BIL!I108</f>
        <v>90</v>
      </c>
      <c r="B91" s="5">
        <f>BIL!J108</f>
        <v>1456</v>
      </c>
      <c r="C91" s="5">
        <f>BIL!K108</f>
        <v>0</v>
      </c>
      <c r="D91" s="8">
        <v>0</v>
      </c>
      <c r="E91" s="8">
        <v>0</v>
      </c>
      <c r="F91" s="7">
        <f t="shared" si="2"/>
        <v>1310.4</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177579</v>
      </c>
      <c r="C146" s="5">
        <f>BIL!K164</f>
        <v>122685</v>
      </c>
      <c r="D146" s="8">
        <v>0</v>
      </c>
      <c r="E146" s="8">
        <v>0</v>
      </c>
      <c r="F146" s="7">
        <f t="shared" si="4"/>
        <v>613276.05</v>
      </c>
      <c r="J146" s="8">
        <f t="shared" si="5"/>
        <v>0</v>
      </c>
    </row>
    <row r="147" spans="1:10" ht="12.75">
      <c r="A147" s="5">
        <f>BIL!I165</f>
        <v>146</v>
      </c>
      <c r="B147" s="5">
        <f>BIL!J165</f>
        <v>17321</v>
      </c>
      <c r="C147" s="5">
        <f>BIL!K165</f>
        <v>25485</v>
      </c>
      <c r="D147" s="8">
        <v>0</v>
      </c>
      <c r="E147" s="8">
        <v>0</v>
      </c>
      <c r="F147" s="7">
        <f t="shared" si="4"/>
        <v>99704.86</v>
      </c>
      <c r="J147" s="8">
        <f t="shared" si="5"/>
        <v>0</v>
      </c>
    </row>
    <row r="148" spans="1:10" ht="12.75">
      <c r="A148" s="5">
        <f>BIL!I166</f>
        <v>147</v>
      </c>
      <c r="B148" s="5">
        <f>BIL!J166</f>
        <v>12498</v>
      </c>
      <c r="C148" s="5">
        <f>BIL!K166</f>
        <v>20662</v>
      </c>
      <c r="D148" s="8">
        <v>0</v>
      </c>
      <c r="E148" s="8">
        <v>0</v>
      </c>
      <c r="F148" s="7">
        <f t="shared" si="4"/>
        <v>79118.34</v>
      </c>
      <c r="J148" s="8">
        <f t="shared" si="5"/>
        <v>0</v>
      </c>
    </row>
    <row r="149" spans="1:10" ht="12.75">
      <c r="A149" s="5">
        <f>BIL!I167</f>
        <v>148</v>
      </c>
      <c r="B149" s="5">
        <f>BIL!J167</f>
        <v>10603</v>
      </c>
      <c r="C149" s="5">
        <f>BIL!K167</f>
        <v>14928</v>
      </c>
      <c r="D149" s="8">
        <v>0</v>
      </c>
      <c r="E149" s="8">
        <v>0</v>
      </c>
      <c r="F149" s="7">
        <f t="shared" si="4"/>
        <v>59879.32</v>
      </c>
      <c r="J149" s="8">
        <f t="shared" si="5"/>
        <v>0</v>
      </c>
    </row>
    <row r="150" spans="1:10" ht="12.75">
      <c r="A150" s="5">
        <f>BIL!I168</f>
        <v>149</v>
      </c>
      <c r="B150" s="5">
        <f>BIL!J168</f>
        <v>7093</v>
      </c>
      <c r="C150" s="5">
        <f>BIL!K168</f>
        <v>9720</v>
      </c>
      <c r="D150" s="8">
        <v>0</v>
      </c>
      <c r="E150" s="8">
        <v>0</v>
      </c>
      <c r="F150" s="7">
        <f t="shared" si="4"/>
        <v>39534.17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190</v>
      </c>
      <c r="C153" s="5">
        <f>BIL!K171</f>
        <v>531</v>
      </c>
      <c r="D153" s="8">
        <v>0</v>
      </c>
      <c r="E153" s="8">
        <v>0</v>
      </c>
      <c r="F153" s="7">
        <f t="shared" si="4"/>
        <v>1903.04</v>
      </c>
      <c r="J153" s="8">
        <f t="shared" si="5"/>
        <v>0</v>
      </c>
    </row>
    <row r="154" spans="1:10" ht="12.75">
      <c r="A154" s="5">
        <f>BIL!I172</f>
        <v>153</v>
      </c>
      <c r="B154" s="5">
        <f>BIL!J172</f>
        <v>1819</v>
      </c>
      <c r="C154" s="5">
        <f>BIL!K172</f>
        <v>2563</v>
      </c>
      <c r="D154" s="8">
        <v>0</v>
      </c>
      <c r="E154" s="8">
        <v>0</v>
      </c>
      <c r="F154" s="7">
        <f t="shared" si="4"/>
        <v>10625.85</v>
      </c>
      <c r="J154" s="8">
        <f t="shared" si="5"/>
        <v>0</v>
      </c>
    </row>
    <row r="155" spans="1:10" ht="12.75">
      <c r="A155" s="5">
        <f>BIL!I173</f>
        <v>154</v>
      </c>
      <c r="B155" s="5">
        <f>BIL!J173</f>
        <v>1501</v>
      </c>
      <c r="C155" s="5">
        <f>BIL!K173</f>
        <v>2114</v>
      </c>
      <c r="D155" s="8">
        <v>0</v>
      </c>
      <c r="E155" s="8">
        <v>0</v>
      </c>
      <c r="F155" s="7">
        <f t="shared" si="4"/>
        <v>8822.66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1895</v>
      </c>
      <c r="C157" s="5">
        <f>BIL!K175</f>
        <v>5734</v>
      </c>
      <c r="D157" s="8">
        <v>0</v>
      </c>
      <c r="E157" s="8">
        <v>0</v>
      </c>
      <c r="F157" s="7">
        <f t="shared" si="4"/>
        <v>20846.280000000002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1895</v>
      </c>
      <c r="C162" s="5">
        <f>BIL!K180</f>
        <v>5734</v>
      </c>
      <c r="D162" s="8">
        <v>0</v>
      </c>
      <c r="E162" s="8">
        <v>0</v>
      </c>
      <c r="F162" s="7">
        <f t="shared" si="4"/>
        <v>21514.43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4823</v>
      </c>
      <c r="C191" s="5">
        <f>BIL!K209</f>
        <v>4823</v>
      </c>
      <c r="D191" s="8">
        <v>0</v>
      </c>
      <c r="E191" s="8">
        <v>0</v>
      </c>
      <c r="F191" s="7">
        <f t="shared" si="4"/>
        <v>27491.1</v>
      </c>
      <c r="J191" s="8">
        <f t="shared" si="5"/>
        <v>0</v>
      </c>
    </row>
    <row r="192" spans="1:10" ht="12.75">
      <c r="A192" s="5">
        <f>BIL!I210</f>
        <v>191</v>
      </c>
      <c r="B192" s="5">
        <f>BIL!J210</f>
        <v>4823</v>
      </c>
      <c r="C192" s="5">
        <f>BIL!K210</f>
        <v>4823</v>
      </c>
      <c r="D192" s="8">
        <v>0</v>
      </c>
      <c r="E192" s="8">
        <v>0</v>
      </c>
      <c r="F192" s="7">
        <f t="shared" si="4"/>
        <v>27635.79</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160258</v>
      </c>
      <c r="C196" s="5">
        <f>BIL!K214</f>
        <v>97200</v>
      </c>
      <c r="D196" s="8">
        <v>0</v>
      </c>
      <c r="E196" s="8">
        <v>0</v>
      </c>
      <c r="F196" s="7">
        <f t="shared" si="6"/>
        <v>691583.1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160258</v>
      </c>
      <c r="C200" s="5">
        <f>BIL!K218</f>
        <v>97200</v>
      </c>
      <c r="D200" s="8">
        <v>0</v>
      </c>
      <c r="E200" s="8">
        <v>0</v>
      </c>
      <c r="F200" s="7">
        <f t="shared" si="6"/>
        <v>705769.4199999999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343113</v>
      </c>
      <c r="C204" s="5">
        <f>PRRAS!K19</f>
        <v>247859</v>
      </c>
      <c r="D204" s="8">
        <v>0</v>
      </c>
      <c r="E204" s="8">
        <v>0</v>
      </c>
      <c r="F204" s="7">
        <f t="shared" si="6"/>
        <v>1702826.9299999997</v>
      </c>
      <c r="J204" s="8">
        <f t="shared" si="7"/>
        <v>0</v>
      </c>
    </row>
    <row r="205" spans="1:10" ht="12.75">
      <c r="A205" s="5">
        <f>202+PRRAS!I20</f>
        <v>204</v>
      </c>
      <c r="B205" s="5">
        <f>PRRAS!J20</f>
        <v>57714</v>
      </c>
      <c r="C205" s="5">
        <f>PRRAS!K20</f>
        <v>31439</v>
      </c>
      <c r="D205" s="8">
        <v>0</v>
      </c>
      <c r="E205" s="8">
        <v>0</v>
      </c>
      <c r="F205" s="7">
        <f t="shared" si="6"/>
        <v>246007.68</v>
      </c>
      <c r="J205" s="8">
        <f t="shared" si="7"/>
        <v>0</v>
      </c>
    </row>
    <row r="206" spans="1:10" ht="12.75">
      <c r="A206" s="5">
        <f>202+PRRAS!I21</f>
        <v>205</v>
      </c>
      <c r="B206" s="5">
        <f>PRRAS!J21</f>
        <v>57714</v>
      </c>
      <c r="C206" s="5">
        <f>PRRAS!K21</f>
        <v>31439</v>
      </c>
      <c r="D206" s="8">
        <v>0</v>
      </c>
      <c r="E206" s="8">
        <v>0</v>
      </c>
      <c r="F206" s="7">
        <f aca="true" t="shared" si="8" ref="F206:F268">A206/100*B206+A206/50*C206</f>
        <v>247213.59999999998</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200</v>
      </c>
      <c r="C208" s="5">
        <f>PRRAS!K23</f>
        <v>0</v>
      </c>
      <c r="D208" s="8">
        <v>0</v>
      </c>
      <c r="E208" s="8">
        <v>0</v>
      </c>
      <c r="F208" s="7">
        <f t="shared" si="8"/>
        <v>413.99999999999994</v>
      </c>
      <c r="J208" s="8">
        <f t="shared" si="9"/>
        <v>0</v>
      </c>
    </row>
    <row r="209" spans="1:10" ht="12.75">
      <c r="A209" s="5">
        <f>202+PRRAS!I24</f>
        <v>208</v>
      </c>
      <c r="B209" s="5">
        <f>PRRAS!J24</f>
        <v>200</v>
      </c>
      <c r="C209" s="5">
        <f>PRRAS!K24</f>
        <v>0</v>
      </c>
      <c r="D209" s="8">
        <v>0</v>
      </c>
      <c r="E209" s="8">
        <v>0</v>
      </c>
      <c r="F209" s="7">
        <f t="shared" si="8"/>
        <v>416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8233</v>
      </c>
      <c r="D211" s="8">
        <v>0</v>
      </c>
      <c r="E211" s="8">
        <v>0</v>
      </c>
      <c r="F211" s="7">
        <f t="shared" si="8"/>
        <v>34578.6</v>
      </c>
      <c r="J211" s="8">
        <f t="shared" si="9"/>
        <v>0</v>
      </c>
    </row>
    <row r="212" spans="1:10" ht="12.75">
      <c r="A212" s="5">
        <f>202+PRRAS!I27</f>
        <v>211</v>
      </c>
      <c r="B212" s="5">
        <f>PRRAS!J27</f>
        <v>0</v>
      </c>
      <c r="C212" s="5">
        <f>PRRAS!K27</f>
        <v>8233</v>
      </c>
      <c r="D212" s="8">
        <v>0</v>
      </c>
      <c r="E212" s="8">
        <v>0</v>
      </c>
      <c r="F212" s="7">
        <f t="shared" si="8"/>
        <v>34743.259999999995</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23</v>
      </c>
      <c r="C214" s="5">
        <f>PRRAS!K29</f>
        <v>20</v>
      </c>
      <c r="D214" s="8">
        <v>0</v>
      </c>
      <c r="E214" s="8">
        <v>0</v>
      </c>
      <c r="F214" s="7">
        <f t="shared" si="8"/>
        <v>134.19</v>
      </c>
      <c r="J214" s="8">
        <f t="shared" si="9"/>
        <v>0</v>
      </c>
    </row>
    <row r="215" spans="1:10" ht="12.75">
      <c r="A215" s="5">
        <f>202+PRRAS!I30</f>
        <v>214</v>
      </c>
      <c r="B215" s="5">
        <f>PRRAS!J30</f>
        <v>23</v>
      </c>
      <c r="C215" s="5">
        <f>PRRAS!K30</f>
        <v>20</v>
      </c>
      <c r="D215" s="8">
        <v>0</v>
      </c>
      <c r="E215" s="8">
        <v>0</v>
      </c>
      <c r="F215" s="7">
        <f t="shared" si="8"/>
        <v>134.82000000000002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12</v>
      </c>
      <c r="C218" s="5">
        <f>PRRAS!K33</f>
        <v>7</v>
      </c>
      <c r="D218" s="8">
        <v>0</v>
      </c>
      <c r="E218" s="8">
        <v>0</v>
      </c>
      <c r="F218" s="7">
        <f t="shared" si="8"/>
        <v>56.42</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11</v>
      </c>
      <c r="C220" s="5">
        <f>PRRAS!K35</f>
        <v>13</v>
      </c>
      <c r="D220" s="8">
        <v>0</v>
      </c>
      <c r="E220" s="8">
        <v>0</v>
      </c>
      <c r="F220" s="7">
        <f t="shared" si="8"/>
        <v>81.03</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285176</v>
      </c>
      <c r="C227" s="5">
        <f>PRRAS!K42</f>
        <v>208167</v>
      </c>
      <c r="D227" s="8">
        <v>0</v>
      </c>
      <c r="E227" s="8">
        <v>0</v>
      </c>
      <c r="F227" s="7">
        <f t="shared" si="8"/>
        <v>1585412.5999999999</v>
      </c>
      <c r="J227" s="8">
        <f t="shared" si="9"/>
        <v>0</v>
      </c>
    </row>
    <row r="228" spans="1:10" ht="12.75">
      <c r="A228" s="5">
        <f>202+PRRAS!I43</f>
        <v>227</v>
      </c>
      <c r="B228" s="5">
        <f>PRRAS!J43</f>
        <v>15000</v>
      </c>
      <c r="C228" s="5">
        <f>PRRAS!K43</f>
        <v>43160</v>
      </c>
      <c r="D228" s="8">
        <v>0</v>
      </c>
      <c r="E228" s="8">
        <v>0</v>
      </c>
      <c r="F228" s="7">
        <f t="shared" si="8"/>
        <v>229996.4</v>
      </c>
      <c r="J228" s="8">
        <f t="shared" si="9"/>
        <v>0</v>
      </c>
    </row>
    <row r="229" spans="1:10" ht="12.75">
      <c r="A229" s="5">
        <f>202+PRRAS!I44</f>
        <v>228</v>
      </c>
      <c r="B229" s="5">
        <f>PRRAS!J44</f>
        <v>0</v>
      </c>
      <c r="C229" s="5">
        <f>PRRAS!K44</f>
        <v>43160</v>
      </c>
      <c r="D229" s="8">
        <v>0</v>
      </c>
      <c r="E229" s="8">
        <v>0</v>
      </c>
      <c r="F229" s="7">
        <f t="shared" si="8"/>
        <v>196809.59999999998</v>
      </c>
      <c r="J229" s="8">
        <f t="shared" si="9"/>
        <v>0</v>
      </c>
    </row>
    <row r="230" spans="1:10" ht="12.75">
      <c r="A230" s="5">
        <f>202+PRRAS!I45</f>
        <v>229</v>
      </c>
      <c r="B230" s="5">
        <f>PRRAS!J45</f>
        <v>15000</v>
      </c>
      <c r="C230" s="5">
        <f>PRRAS!K45</f>
        <v>0</v>
      </c>
      <c r="D230" s="8">
        <v>0</v>
      </c>
      <c r="E230" s="8">
        <v>0</v>
      </c>
      <c r="F230" s="7">
        <f t="shared" si="8"/>
        <v>34350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97132</v>
      </c>
      <c r="C233" s="5">
        <f>PRRAS!K48</f>
        <v>0</v>
      </c>
      <c r="D233" s="8">
        <v>0</v>
      </c>
      <c r="E233" s="8">
        <v>0</v>
      </c>
      <c r="F233" s="7">
        <f t="shared" si="8"/>
        <v>225346.24</v>
      </c>
      <c r="J233" s="8">
        <f t="shared" si="9"/>
        <v>0</v>
      </c>
    </row>
    <row r="234" spans="1:10" ht="12.75">
      <c r="A234" s="5">
        <f>202+PRRAS!I49</f>
        <v>233</v>
      </c>
      <c r="B234" s="5">
        <f>PRRAS!J49</f>
        <v>97132</v>
      </c>
      <c r="C234" s="5">
        <f>PRRAS!K49</f>
        <v>0</v>
      </c>
      <c r="D234" s="8">
        <v>0</v>
      </c>
      <c r="E234" s="8">
        <v>0</v>
      </c>
      <c r="F234" s="7">
        <f t="shared" si="8"/>
        <v>226317.56</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150000</v>
      </c>
      <c r="C236" s="5">
        <f>PRRAS!K51</f>
        <v>150000</v>
      </c>
      <c r="D236" s="8">
        <v>0</v>
      </c>
      <c r="E236" s="8">
        <v>0</v>
      </c>
      <c r="F236" s="7">
        <f t="shared" si="8"/>
        <v>1057500</v>
      </c>
      <c r="J236" s="8">
        <f t="shared" si="9"/>
        <v>0</v>
      </c>
    </row>
    <row r="237" spans="1:10" ht="12.75">
      <c r="A237" s="5">
        <f>202+PRRAS!I52</f>
        <v>236</v>
      </c>
      <c r="B237" s="5">
        <f>PRRAS!J52</f>
        <v>150000</v>
      </c>
      <c r="C237" s="5">
        <f>PRRAS!K52</f>
        <v>150000</v>
      </c>
      <c r="D237" s="8">
        <v>0</v>
      </c>
      <c r="E237" s="8">
        <v>0</v>
      </c>
      <c r="F237" s="7">
        <f t="shared" si="8"/>
        <v>1062000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23044</v>
      </c>
      <c r="C239" s="5">
        <f>PRRAS!K54</f>
        <v>15007</v>
      </c>
      <c r="D239" s="8">
        <v>0</v>
      </c>
      <c r="E239" s="8">
        <v>0</v>
      </c>
      <c r="F239" s="7">
        <f t="shared" si="8"/>
        <v>126278.04</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253576</v>
      </c>
      <c r="C257" s="5">
        <f>PRRAS!K73</f>
        <v>310917</v>
      </c>
      <c r="D257" s="8">
        <v>0</v>
      </c>
      <c r="E257" s="8">
        <v>0</v>
      </c>
      <c r="F257" s="7">
        <f t="shared" si="8"/>
        <v>2241049.6</v>
      </c>
      <c r="J257" s="8">
        <f t="shared" si="9"/>
        <v>0</v>
      </c>
    </row>
    <row r="258" spans="1:10" ht="12.75">
      <c r="A258" s="5">
        <f>202+PRRAS!I74</f>
        <v>257</v>
      </c>
      <c r="B258" s="5">
        <f>PRRAS!J74</f>
        <v>149069</v>
      </c>
      <c r="C258" s="5">
        <f>PRRAS!K74</f>
        <v>205130</v>
      </c>
      <c r="D258" s="8">
        <v>0</v>
      </c>
      <c r="E258" s="8">
        <v>0</v>
      </c>
      <c r="F258" s="7">
        <f t="shared" si="8"/>
        <v>1437475.5299999998</v>
      </c>
      <c r="J258" s="8">
        <f t="shared" si="9"/>
        <v>0</v>
      </c>
    </row>
    <row r="259" spans="1:10" ht="12.75">
      <c r="A259" s="5">
        <f>202+PRRAS!I75</f>
        <v>258</v>
      </c>
      <c r="B259" s="5">
        <f>PRRAS!J75</f>
        <v>120301</v>
      </c>
      <c r="C259" s="5">
        <f>PRRAS!K75</f>
        <v>153760</v>
      </c>
      <c r="D259" s="8">
        <v>0</v>
      </c>
      <c r="E259" s="8">
        <v>0</v>
      </c>
      <c r="F259" s="7">
        <f t="shared" si="8"/>
        <v>1103778.18</v>
      </c>
      <c r="J259" s="8">
        <f t="shared" si="9"/>
        <v>0</v>
      </c>
    </row>
    <row r="260" spans="1:10" ht="12.75">
      <c r="A260" s="5">
        <f>202+PRRAS!I76</f>
        <v>259</v>
      </c>
      <c r="B260" s="5">
        <f>PRRAS!J76</f>
        <v>120301</v>
      </c>
      <c r="C260" s="5">
        <f>PRRAS!K76</f>
        <v>153760</v>
      </c>
      <c r="D260" s="8">
        <v>0</v>
      </c>
      <c r="E260" s="8">
        <v>0</v>
      </c>
      <c r="F260" s="7">
        <f t="shared" si="8"/>
        <v>1108056.39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13000</v>
      </c>
      <c r="C264" s="5">
        <f>PRRAS!K80</f>
        <v>26000</v>
      </c>
      <c r="D264" s="8">
        <v>0</v>
      </c>
      <c r="E264" s="8">
        <v>0</v>
      </c>
      <c r="F264" s="7">
        <f t="shared" si="8"/>
        <v>170950</v>
      </c>
      <c r="J264" s="8">
        <f t="shared" si="9"/>
        <v>0</v>
      </c>
    </row>
    <row r="265" spans="1:10" ht="12.75">
      <c r="A265" s="5">
        <f>202+PRRAS!I81</f>
        <v>264</v>
      </c>
      <c r="B265" s="5">
        <f>PRRAS!J81</f>
        <v>15768</v>
      </c>
      <c r="C265" s="5">
        <f>PRRAS!K81</f>
        <v>25370</v>
      </c>
      <c r="D265" s="8">
        <v>0</v>
      </c>
      <c r="E265" s="8">
        <v>0</v>
      </c>
      <c r="F265" s="7">
        <f t="shared" si="8"/>
        <v>175581.12</v>
      </c>
      <c r="J265" s="8">
        <f t="shared" si="9"/>
        <v>0</v>
      </c>
    </row>
    <row r="266" spans="1:10" ht="12.75">
      <c r="A266" s="5">
        <f>202+PRRAS!I82</f>
        <v>265</v>
      </c>
      <c r="B266" s="5">
        <f>PRRAS!J82</f>
        <v>15768</v>
      </c>
      <c r="C266" s="5">
        <f>PRRAS!K82</f>
        <v>25370</v>
      </c>
      <c r="D266" s="8">
        <v>0</v>
      </c>
      <c r="E266" s="8">
        <v>0</v>
      </c>
      <c r="F266" s="7">
        <f t="shared" si="8"/>
        <v>176246.2</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99336</v>
      </c>
      <c r="C270" s="5">
        <f>PRRAS!K86</f>
        <v>101989</v>
      </c>
      <c r="D270" s="8">
        <v>0</v>
      </c>
      <c r="E270" s="8">
        <v>0</v>
      </c>
      <c r="F270" s="7">
        <f t="shared" si="10"/>
        <v>815914.6599999999</v>
      </c>
      <c r="J270" s="8">
        <f t="shared" si="11"/>
        <v>0</v>
      </c>
    </row>
    <row r="271" spans="1:10" ht="12.75">
      <c r="A271" s="5">
        <f>202+PRRAS!I87</f>
        <v>270</v>
      </c>
      <c r="B271" s="5">
        <f>PRRAS!J87</f>
        <v>3532</v>
      </c>
      <c r="C271" s="5">
        <f>PRRAS!K87</f>
        <v>8950</v>
      </c>
      <c r="D271" s="8">
        <v>0</v>
      </c>
      <c r="E271" s="8">
        <v>0</v>
      </c>
      <c r="F271" s="7">
        <f t="shared" si="10"/>
        <v>57866.4</v>
      </c>
      <c r="J271" s="8">
        <f t="shared" si="11"/>
        <v>0</v>
      </c>
    </row>
    <row r="272" spans="1:10" ht="12.75">
      <c r="A272" s="5">
        <f>202+PRRAS!I88</f>
        <v>271</v>
      </c>
      <c r="B272" s="5">
        <f>PRRAS!J88</f>
        <v>400</v>
      </c>
      <c r="C272" s="5">
        <f>PRRAS!K88</f>
        <v>5818</v>
      </c>
      <c r="D272" s="8">
        <v>0</v>
      </c>
      <c r="E272" s="8">
        <v>0</v>
      </c>
      <c r="F272" s="7">
        <f t="shared" si="10"/>
        <v>32617.56</v>
      </c>
      <c r="J272" s="8">
        <f t="shared" si="11"/>
        <v>0</v>
      </c>
    </row>
    <row r="273" spans="1:10" ht="12.75">
      <c r="A273" s="5">
        <f>202+PRRAS!I89</f>
        <v>272</v>
      </c>
      <c r="B273" s="5">
        <f>PRRAS!J89</f>
        <v>3132</v>
      </c>
      <c r="C273" s="5">
        <f>PRRAS!K89</f>
        <v>3132</v>
      </c>
      <c r="D273" s="8">
        <v>0</v>
      </c>
      <c r="E273" s="8">
        <v>0</v>
      </c>
      <c r="F273" s="7">
        <f t="shared" si="10"/>
        <v>25557.120000000003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200</v>
      </c>
      <c r="C275" s="5">
        <f>PRRAS!K91</f>
        <v>0</v>
      </c>
      <c r="D275" s="8">
        <v>0</v>
      </c>
      <c r="E275" s="8">
        <v>0</v>
      </c>
      <c r="F275" s="7">
        <f t="shared" si="10"/>
        <v>548</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200</v>
      </c>
      <c r="C277" s="5">
        <f>PRRAS!K93</f>
        <v>0</v>
      </c>
      <c r="D277" s="8">
        <v>0</v>
      </c>
      <c r="E277" s="8">
        <v>0</v>
      </c>
      <c r="F277" s="7">
        <f t="shared" si="10"/>
        <v>552</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13149</v>
      </c>
      <c r="C285" s="5">
        <f>PRRAS!K101</f>
        <v>30240</v>
      </c>
      <c r="D285" s="8">
        <v>0</v>
      </c>
      <c r="E285" s="8">
        <v>0</v>
      </c>
      <c r="F285" s="7">
        <f t="shared" si="10"/>
        <v>209106.36</v>
      </c>
      <c r="J285" s="8">
        <f t="shared" si="11"/>
        <v>0</v>
      </c>
    </row>
    <row r="286" spans="1:10" ht="12.75">
      <c r="A286" s="5">
        <f>202+PRRAS!I102</f>
        <v>285</v>
      </c>
      <c r="B286" s="5">
        <f>PRRAS!J102</f>
        <v>12949</v>
      </c>
      <c r="C286" s="5">
        <f>PRRAS!K102</f>
        <v>29840</v>
      </c>
      <c r="D286" s="8">
        <v>0</v>
      </c>
      <c r="E286" s="8">
        <v>0</v>
      </c>
      <c r="F286" s="7">
        <f t="shared" si="10"/>
        <v>206992.65</v>
      </c>
      <c r="J286" s="8">
        <f t="shared" si="11"/>
        <v>0</v>
      </c>
    </row>
    <row r="287" spans="1:10" ht="12.75">
      <c r="A287" s="5">
        <f>202+PRRAS!I103</f>
        <v>286</v>
      </c>
      <c r="B287" s="5">
        <f>PRRAS!J103</f>
        <v>200</v>
      </c>
      <c r="C287" s="5">
        <f>PRRAS!K103</f>
        <v>400</v>
      </c>
      <c r="D287" s="8">
        <v>0</v>
      </c>
      <c r="E287" s="8">
        <v>0</v>
      </c>
      <c r="F287" s="7">
        <f t="shared" si="10"/>
        <v>2860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73611</v>
      </c>
      <c r="C290" s="5">
        <f>PRRAS!K106</f>
        <v>41005</v>
      </c>
      <c r="D290" s="8">
        <v>0</v>
      </c>
      <c r="E290" s="8">
        <v>0</v>
      </c>
      <c r="F290" s="7">
        <f t="shared" si="10"/>
        <v>449744.69000000006</v>
      </c>
      <c r="J290" s="8">
        <f t="shared" si="11"/>
        <v>0</v>
      </c>
    </row>
    <row r="291" spans="1:10" ht="12.75">
      <c r="A291" s="5">
        <f>202+PRRAS!I107</f>
        <v>290</v>
      </c>
      <c r="B291" s="5">
        <f>PRRAS!J107</f>
        <v>8886</v>
      </c>
      <c r="C291" s="5">
        <f>PRRAS!K107</f>
        <v>8722</v>
      </c>
      <c r="D291" s="8">
        <v>0</v>
      </c>
      <c r="E291" s="8">
        <v>0</v>
      </c>
      <c r="F291" s="7">
        <f t="shared" si="10"/>
        <v>76357</v>
      </c>
      <c r="J291" s="8">
        <f t="shared" si="11"/>
        <v>0</v>
      </c>
    </row>
    <row r="292" spans="1:10" ht="12.75">
      <c r="A292" s="5">
        <f>202+PRRAS!I108</f>
        <v>291</v>
      </c>
      <c r="B292" s="5">
        <f>PRRAS!J108</f>
        <v>1288</v>
      </c>
      <c r="C292" s="5">
        <f>PRRAS!K108</f>
        <v>1675</v>
      </c>
      <c r="D292" s="8">
        <v>0</v>
      </c>
      <c r="E292" s="8">
        <v>0</v>
      </c>
      <c r="F292" s="7">
        <f t="shared" si="10"/>
        <v>13496.58</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11594</v>
      </c>
      <c r="C294" s="5">
        <f>PRRAS!K110</f>
        <v>14958</v>
      </c>
      <c r="D294" s="8">
        <v>0</v>
      </c>
      <c r="E294" s="8">
        <v>0</v>
      </c>
      <c r="F294" s="7">
        <f t="shared" si="10"/>
        <v>121624.3</v>
      </c>
      <c r="J294" s="8">
        <f t="shared" si="11"/>
        <v>0</v>
      </c>
    </row>
    <row r="295" spans="1:10" ht="12.75">
      <c r="A295" s="5">
        <f>202+PRRAS!I111</f>
        <v>294</v>
      </c>
      <c r="B295" s="5">
        <f>PRRAS!J111</f>
        <v>10487</v>
      </c>
      <c r="C295" s="5">
        <f>PRRAS!K111</f>
        <v>5950</v>
      </c>
      <c r="D295" s="8">
        <v>0</v>
      </c>
      <c r="E295" s="8">
        <v>0</v>
      </c>
      <c r="F295" s="7">
        <f t="shared" si="10"/>
        <v>65817.78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11900</v>
      </c>
      <c r="C297" s="5">
        <f>PRRAS!K113</f>
        <v>7500</v>
      </c>
      <c r="D297" s="8">
        <v>0</v>
      </c>
      <c r="E297" s="8">
        <v>0</v>
      </c>
      <c r="F297" s="7">
        <f t="shared" si="10"/>
        <v>79624</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29456</v>
      </c>
      <c r="C299" s="5">
        <f>PRRAS!K115</f>
        <v>2200</v>
      </c>
      <c r="D299" s="8">
        <v>0</v>
      </c>
      <c r="E299" s="8">
        <v>0</v>
      </c>
      <c r="F299" s="7">
        <f t="shared" si="10"/>
        <v>100890.88</v>
      </c>
      <c r="J299" s="8">
        <f t="shared" si="11"/>
        <v>0</v>
      </c>
    </row>
    <row r="300" spans="1:10" ht="12.75">
      <c r="A300" s="5">
        <f>202+PRRAS!I116</f>
        <v>299</v>
      </c>
      <c r="B300" s="5">
        <f>PRRAS!J116</f>
        <v>5067</v>
      </c>
      <c r="C300" s="5">
        <f>PRRAS!K116</f>
        <v>15315</v>
      </c>
      <c r="D300" s="8">
        <v>0</v>
      </c>
      <c r="E300" s="8">
        <v>0</v>
      </c>
      <c r="F300" s="7">
        <f t="shared" si="10"/>
        <v>106734.03000000001</v>
      </c>
      <c r="J300" s="8">
        <f t="shared" si="11"/>
        <v>0</v>
      </c>
    </row>
    <row r="301" spans="1:10" ht="12.75">
      <c r="A301" s="5">
        <f>202+PRRAS!I117</f>
        <v>300</v>
      </c>
      <c r="B301" s="5">
        <f>PRRAS!J117</f>
        <v>2335</v>
      </c>
      <c r="C301" s="5">
        <f>PRRAS!K117</f>
        <v>1146</v>
      </c>
      <c r="D301" s="8">
        <v>0</v>
      </c>
      <c r="E301" s="8">
        <v>0</v>
      </c>
      <c r="F301" s="7">
        <f t="shared" si="10"/>
        <v>13881</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2732</v>
      </c>
      <c r="C303" s="5">
        <f>PRRAS!K119</f>
        <v>10350</v>
      </c>
      <c r="D303" s="8">
        <v>0</v>
      </c>
      <c r="E303" s="8">
        <v>0</v>
      </c>
      <c r="F303" s="7">
        <f t="shared" si="10"/>
        <v>70764.64</v>
      </c>
      <c r="J303" s="8">
        <f t="shared" si="11"/>
        <v>0</v>
      </c>
    </row>
    <row r="304" spans="1:10" ht="12.75">
      <c r="A304" s="5">
        <f>202+PRRAS!I120</f>
        <v>303</v>
      </c>
      <c r="B304" s="5">
        <f>PRRAS!J120</f>
        <v>0</v>
      </c>
      <c r="C304" s="5">
        <f>PRRAS!K120</f>
        <v>3819</v>
      </c>
      <c r="D304" s="8">
        <v>0</v>
      </c>
      <c r="E304" s="8">
        <v>0</v>
      </c>
      <c r="F304" s="7">
        <f t="shared" si="10"/>
        <v>23143.14</v>
      </c>
      <c r="J304" s="8">
        <f t="shared" si="11"/>
        <v>0</v>
      </c>
    </row>
    <row r="305" spans="1:10" ht="12.75">
      <c r="A305" s="5">
        <f>202+PRRAS!I121</f>
        <v>304</v>
      </c>
      <c r="B305" s="5">
        <f>PRRAS!J121</f>
        <v>3777</v>
      </c>
      <c r="C305" s="5">
        <f>PRRAS!K121</f>
        <v>6479</v>
      </c>
      <c r="D305" s="8">
        <v>0</v>
      </c>
      <c r="E305" s="8">
        <v>0</v>
      </c>
      <c r="F305" s="7">
        <f t="shared" si="10"/>
        <v>50874.4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5949</v>
      </c>
      <c r="D308" s="8">
        <v>0</v>
      </c>
      <c r="E308" s="8">
        <v>0</v>
      </c>
      <c r="F308" s="7">
        <f t="shared" si="10"/>
        <v>36526.86</v>
      </c>
      <c r="J308" s="8">
        <f t="shared" si="11"/>
        <v>0</v>
      </c>
    </row>
    <row r="309" spans="1:10" ht="12.75">
      <c r="A309" s="5">
        <f>202+PRRAS!I125</f>
        <v>308</v>
      </c>
      <c r="B309" s="5">
        <f>PRRAS!J125</f>
        <v>0</v>
      </c>
      <c r="C309" s="5">
        <f>PRRAS!K125</f>
        <v>395</v>
      </c>
      <c r="D309" s="8">
        <v>0</v>
      </c>
      <c r="E309" s="8">
        <v>0</v>
      </c>
      <c r="F309" s="7">
        <f t="shared" si="10"/>
        <v>2433.2000000000003</v>
      </c>
      <c r="J309" s="8">
        <f t="shared" si="11"/>
        <v>0</v>
      </c>
    </row>
    <row r="310" spans="1:10" ht="12.75">
      <c r="A310" s="5">
        <f>202+PRRAS!I126</f>
        <v>309</v>
      </c>
      <c r="B310" s="5">
        <f>PRRAS!J126</f>
        <v>3777</v>
      </c>
      <c r="C310" s="5">
        <f>PRRAS!K126</f>
        <v>135</v>
      </c>
      <c r="D310" s="8">
        <v>0</v>
      </c>
      <c r="E310" s="8">
        <v>0</v>
      </c>
      <c r="F310" s="7">
        <f t="shared" si="10"/>
        <v>12505.23</v>
      </c>
      <c r="J310" s="8">
        <f t="shared" si="11"/>
        <v>0</v>
      </c>
    </row>
    <row r="311" spans="1:10" ht="12.75">
      <c r="A311" s="5">
        <f>202+PRRAS!I127</f>
        <v>310</v>
      </c>
      <c r="B311" s="5">
        <f>PRRAS!J127</f>
        <v>2466</v>
      </c>
      <c r="C311" s="5">
        <f>PRRAS!K127</f>
        <v>1601</v>
      </c>
      <c r="D311" s="8">
        <v>0</v>
      </c>
      <c r="E311" s="8">
        <v>0</v>
      </c>
      <c r="F311" s="7">
        <f t="shared" si="10"/>
        <v>17570.800000000003</v>
      </c>
      <c r="J311" s="8">
        <f t="shared" si="11"/>
        <v>0</v>
      </c>
    </row>
    <row r="312" spans="1:10" ht="12.75">
      <c r="A312" s="5">
        <f>202+PRRAS!I128</f>
        <v>311</v>
      </c>
      <c r="B312" s="5">
        <f>PRRAS!J128</f>
        <v>2453</v>
      </c>
      <c r="C312" s="5">
        <f>PRRAS!K128</f>
        <v>2197</v>
      </c>
      <c r="D312" s="8">
        <v>0</v>
      </c>
      <c r="E312" s="8">
        <v>0</v>
      </c>
      <c r="F312" s="7">
        <f t="shared" si="10"/>
        <v>21294.17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2453</v>
      </c>
      <c r="C318" s="5">
        <f>PRRAS!K134</f>
        <v>2197</v>
      </c>
      <c r="D318" s="8">
        <v>0</v>
      </c>
      <c r="E318" s="8">
        <v>0</v>
      </c>
      <c r="F318" s="7">
        <f t="shared" si="10"/>
        <v>21704.989999999998</v>
      </c>
      <c r="J318" s="8">
        <f t="shared" si="11"/>
        <v>0</v>
      </c>
    </row>
    <row r="319" spans="1:10" ht="12.75">
      <c r="A319" s="5">
        <f>202+PRRAS!I135</f>
        <v>318</v>
      </c>
      <c r="B319" s="5">
        <f>PRRAS!J135</f>
        <v>2026</v>
      </c>
      <c r="C319" s="5">
        <f>PRRAS!K135</f>
        <v>2068</v>
      </c>
      <c r="D319" s="8">
        <v>0</v>
      </c>
      <c r="E319" s="8">
        <v>0</v>
      </c>
      <c r="F319" s="7">
        <f t="shared" si="10"/>
        <v>19595.160000000003</v>
      </c>
      <c r="J319" s="8">
        <f t="shared" si="11"/>
        <v>0</v>
      </c>
    </row>
    <row r="320" spans="1:10" ht="12.75">
      <c r="A320" s="5">
        <f>202+PRRAS!I136</f>
        <v>319</v>
      </c>
      <c r="B320" s="5">
        <f>PRRAS!J136</f>
        <v>427</v>
      </c>
      <c r="C320" s="5">
        <f>PRRAS!K136</f>
        <v>129</v>
      </c>
      <c r="D320" s="8">
        <v>0</v>
      </c>
      <c r="E320" s="8">
        <v>0</v>
      </c>
      <c r="F320" s="7">
        <f t="shared" si="10"/>
        <v>2185.1499999999996</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252</v>
      </c>
      <c r="C331" s="5">
        <f>PRRAS!K147</f>
        <v>0</v>
      </c>
      <c r="D331" s="8">
        <v>0</v>
      </c>
      <c r="E331" s="8">
        <v>0</v>
      </c>
      <c r="F331" s="7">
        <f t="shared" si="10"/>
        <v>831.5999999999999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252</v>
      </c>
      <c r="C337" s="5">
        <f>PRRAS!K153</f>
        <v>0</v>
      </c>
      <c r="D337" s="8">
        <v>0</v>
      </c>
      <c r="E337" s="8">
        <v>0</v>
      </c>
      <c r="F337" s="7">
        <f t="shared" si="12"/>
        <v>846.7199999999999</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252</v>
      </c>
      <c r="C341" s="5">
        <f>PRRAS!K157</f>
        <v>0</v>
      </c>
      <c r="D341" s="8">
        <v>0</v>
      </c>
      <c r="E341" s="8">
        <v>0</v>
      </c>
      <c r="F341" s="7">
        <f t="shared" si="12"/>
        <v>856.8</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253576</v>
      </c>
      <c r="C351" s="5">
        <f>PRRAS!K167</f>
        <v>310917</v>
      </c>
      <c r="D351" s="8">
        <v>0</v>
      </c>
      <c r="E351" s="8">
        <v>0</v>
      </c>
      <c r="F351" s="7">
        <f t="shared" si="12"/>
        <v>3063935</v>
      </c>
      <c r="J351" s="8">
        <f t="shared" si="13"/>
        <v>0</v>
      </c>
    </row>
    <row r="352" spans="1:10" ht="12.75">
      <c r="A352" s="5">
        <f>202+PRRAS!I168</f>
        <v>351</v>
      </c>
      <c r="B352" s="5">
        <f>PRRAS!J168</f>
        <v>89537</v>
      </c>
      <c r="C352" s="5">
        <f>PRRAS!K168</f>
        <v>0</v>
      </c>
      <c r="D352" s="8">
        <v>0</v>
      </c>
      <c r="E352" s="8">
        <v>0</v>
      </c>
      <c r="F352" s="7">
        <f t="shared" si="12"/>
        <v>314274.87</v>
      </c>
      <c r="J352" s="8">
        <f t="shared" si="13"/>
        <v>0</v>
      </c>
    </row>
    <row r="353" spans="1:10" ht="12.75">
      <c r="A353" s="5">
        <f>202+PRRAS!I169</f>
        <v>352</v>
      </c>
      <c r="B353" s="5">
        <f>PRRAS!J169</f>
        <v>0</v>
      </c>
      <c r="C353" s="5">
        <f>PRRAS!K169</f>
        <v>63058</v>
      </c>
      <c r="D353" s="8">
        <v>0</v>
      </c>
      <c r="E353" s="8">
        <v>0</v>
      </c>
      <c r="F353" s="7">
        <f t="shared" si="12"/>
        <v>443928.32</v>
      </c>
      <c r="J353" s="8">
        <f t="shared" si="13"/>
        <v>0</v>
      </c>
    </row>
    <row r="354" spans="1:10" ht="12.75">
      <c r="A354" s="5">
        <f>202+PRRAS!I170</f>
        <v>353</v>
      </c>
      <c r="B354" s="5">
        <f>PRRAS!J170</f>
        <v>70722</v>
      </c>
      <c r="C354" s="5">
        <f>PRRAS!K170</f>
        <v>160259</v>
      </c>
      <c r="D354" s="8">
        <v>0</v>
      </c>
      <c r="E354" s="8">
        <v>0</v>
      </c>
      <c r="F354" s="7">
        <f t="shared" si="12"/>
        <v>1381077.2</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160259</v>
      </c>
      <c r="C357" s="5">
        <f>PRRAS!K173</f>
        <v>97201</v>
      </c>
      <c r="D357" s="8">
        <v>0</v>
      </c>
      <c r="E357" s="8">
        <v>0</v>
      </c>
      <c r="F357" s="7">
        <f t="shared" si="12"/>
        <v>1262593.1600000001</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86139</v>
      </c>
      <c r="C359" s="5">
        <f>PRRAS!K176</f>
        <v>170796</v>
      </c>
      <c r="D359" s="8">
        <v>0</v>
      </c>
      <c r="E359" s="8">
        <v>0</v>
      </c>
      <c r="F359" s="7">
        <f t="shared" si="12"/>
        <v>1531276.98</v>
      </c>
      <c r="J359" s="8">
        <f t="shared" si="13"/>
        <v>0</v>
      </c>
    </row>
    <row r="360" spans="1:10" ht="12.75">
      <c r="A360" s="5">
        <f>202+PRRAS!I177</f>
        <v>359</v>
      </c>
      <c r="B360" s="5">
        <f>PRRAS!J177</f>
        <v>469270</v>
      </c>
      <c r="C360" s="5">
        <f>PRRAS!K177</f>
        <v>267019</v>
      </c>
      <c r="D360" s="8">
        <v>0</v>
      </c>
      <c r="E360" s="8">
        <v>0</v>
      </c>
      <c r="F360" s="7">
        <f t="shared" si="12"/>
        <v>3601875.7199999997</v>
      </c>
      <c r="J360" s="8">
        <f t="shared" si="13"/>
        <v>0</v>
      </c>
    </row>
    <row r="361" spans="1:10" ht="12.75">
      <c r="A361" s="5">
        <f>202+PRRAS!I178</f>
        <v>360</v>
      </c>
      <c r="B361" s="5">
        <f>PRRAS!J178</f>
        <v>384613</v>
      </c>
      <c r="C361" s="5">
        <f>PRRAS!K178</f>
        <v>318855</v>
      </c>
      <c r="D361" s="8">
        <v>0</v>
      </c>
      <c r="E361" s="8">
        <v>0</v>
      </c>
      <c r="F361" s="7">
        <f t="shared" si="12"/>
        <v>3680362.8</v>
      </c>
      <c r="J361" s="8">
        <f t="shared" si="13"/>
        <v>0</v>
      </c>
    </row>
    <row r="362" spans="1:10" ht="12.75">
      <c r="A362" s="5">
        <f>202+PRRAS!I179</f>
        <v>361</v>
      </c>
      <c r="B362" s="5">
        <f>PRRAS!J179</f>
        <v>170796</v>
      </c>
      <c r="C362" s="5">
        <f>PRRAS!K179</f>
        <v>118960</v>
      </c>
      <c r="D362" s="8">
        <v>0</v>
      </c>
      <c r="E362" s="8">
        <v>0</v>
      </c>
      <c r="F362" s="7">
        <f t="shared" si="12"/>
        <v>1475464.7599999998</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HR9123600001101680791</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01752235</v>
      </c>
      <c r="I3" s="9" t="s">
        <v>2211</v>
      </c>
      <c r="J3" s="8">
        <f t="shared" si="1"/>
        <v>0</v>
      </c>
    </row>
    <row r="4" spans="1:10" ht="12.75">
      <c r="A4" s="5">
        <v>3</v>
      </c>
      <c r="B4" s="8">
        <v>0</v>
      </c>
      <c r="C4" s="8">
        <v>0</v>
      </c>
      <c r="D4" s="8">
        <v>0</v>
      </c>
      <c r="E4" s="8">
        <v>0</v>
      </c>
      <c r="F4" s="7">
        <f t="shared" si="0"/>
        <v>0</v>
      </c>
      <c r="G4" s="6" t="str">
        <f>IF(ISERROR(RefStr!C7),"-",UPPER(TRIM(RefStr!C7)))</f>
        <v>CENTAR ZA DEMOKRACIJU I PRAVO MIKO TRIPALO</v>
      </c>
      <c r="I4" s="9" t="s">
        <v>2212</v>
      </c>
      <c r="J4" s="8">
        <f t="shared" si="1"/>
        <v>0</v>
      </c>
    </row>
    <row r="5" spans="1:10" ht="12.75">
      <c r="A5" s="5">
        <v>4</v>
      </c>
      <c r="B5" s="8">
        <v>0</v>
      </c>
      <c r="C5" s="8">
        <v>0</v>
      </c>
      <c r="D5" s="8">
        <v>0</v>
      </c>
      <c r="E5" s="8">
        <v>0</v>
      </c>
      <c r="F5" s="7">
        <f t="shared" si="0"/>
        <v>0</v>
      </c>
      <c r="G5" s="6" t="str">
        <f>TEXT(INT(VALUE(RefStr!C9)),"00000")</f>
        <v>10000</v>
      </c>
      <c r="I5" s="9" t="s">
        <v>2213</v>
      </c>
      <c r="J5" s="8">
        <f t="shared" si="1"/>
        <v>0</v>
      </c>
    </row>
    <row r="6" spans="1:10" ht="12.75">
      <c r="A6" s="5">
        <v>5</v>
      </c>
      <c r="B6" s="8">
        <v>0</v>
      </c>
      <c r="C6" s="8">
        <v>0</v>
      </c>
      <c r="D6" s="8">
        <v>0</v>
      </c>
      <c r="E6" s="8">
        <v>0</v>
      </c>
      <c r="F6" s="7">
        <f t="shared" si="0"/>
        <v>0</v>
      </c>
      <c r="G6" s="6" t="str">
        <f>IF(ISERROR(RefStr!E9),"-",UPPER(TRIM(RefStr!E9)))</f>
        <v>ZAGREB</v>
      </c>
      <c r="I6" s="9" t="s">
        <v>2214</v>
      </c>
      <c r="J6" s="8">
        <f t="shared" si="1"/>
        <v>0</v>
      </c>
    </row>
    <row r="7" spans="1:10" ht="12.75">
      <c r="A7" s="5">
        <v>6</v>
      </c>
      <c r="B7" s="8">
        <v>0</v>
      </c>
      <c r="C7" s="8">
        <v>0</v>
      </c>
      <c r="D7" s="8">
        <v>0</v>
      </c>
      <c r="E7" s="8">
        <v>0</v>
      </c>
      <c r="F7" s="7">
        <f t="shared" si="0"/>
        <v>0</v>
      </c>
      <c r="G7" s="6" t="str">
        <f>IF(ISERROR(RefStr!C11),"-",(TRIM(RefStr!C11)))</f>
        <v>Ilica 5/II</v>
      </c>
      <c r="I7" s="9" t="s">
        <v>2215</v>
      </c>
      <c r="J7" s="8">
        <f t="shared" si="1"/>
        <v>0</v>
      </c>
    </row>
    <row r="8" spans="1:10" ht="12.75">
      <c r="A8" s="5">
        <v>7</v>
      </c>
      <c r="B8" s="8">
        <v>0</v>
      </c>
      <c r="C8" s="8">
        <v>0</v>
      </c>
      <c r="D8" s="8">
        <v>0</v>
      </c>
      <c r="E8" s="8">
        <v>0</v>
      </c>
      <c r="F8" s="7">
        <f t="shared" si="0"/>
        <v>0</v>
      </c>
      <c r="G8" s="6" t="str">
        <f>TEXT(INT(VALUE(RefStr!C15)),"0000")</f>
        <v>9499</v>
      </c>
      <c r="I8" s="9" t="s">
        <v>2216</v>
      </c>
      <c r="J8" s="8">
        <f t="shared" si="1"/>
        <v>0</v>
      </c>
    </row>
    <row r="9" spans="1:10" ht="12.75">
      <c r="A9" s="5">
        <v>8</v>
      </c>
      <c r="B9" s="8">
        <v>0</v>
      </c>
      <c r="C9" s="8">
        <v>0</v>
      </c>
      <c r="D9" s="8">
        <v>0</v>
      </c>
      <c r="E9" s="8">
        <v>0</v>
      </c>
      <c r="F9" s="7">
        <f t="shared" si="0"/>
        <v>0</v>
      </c>
      <c r="G9" s="6" t="str">
        <f>IF(RefStr!J17&lt;&gt;"",TEXT(INT(VALUE(RefStr!J17)),"00"),"00")</f>
        <v>21</v>
      </c>
      <c r="I9" s="9" t="s">
        <v>2217</v>
      </c>
      <c r="J9" s="8">
        <f t="shared" si="1"/>
        <v>0</v>
      </c>
    </row>
    <row r="10" spans="1:10" ht="12.75">
      <c r="A10" s="5">
        <v>9</v>
      </c>
      <c r="B10" s="8">
        <v>0</v>
      </c>
      <c r="C10" s="8">
        <v>0</v>
      </c>
      <c r="D10" s="8">
        <v>0</v>
      </c>
      <c r="E10" s="8">
        <v>0</v>
      </c>
      <c r="F10" s="7">
        <f t="shared" si="0"/>
        <v>0</v>
      </c>
      <c r="G10" s="6" t="str">
        <f>TEXT(INT(VALUE(RefStr!C17)),"000")</f>
        <v>133</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TVRTKO JAKOVINA</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VLATKA ZGURIĆ DOBRENIĆ</v>
      </c>
      <c r="I20" s="9" t="s">
        <v>3007</v>
      </c>
      <c r="J20" s="8">
        <f t="shared" si="1"/>
        <v>0</v>
      </c>
    </row>
    <row r="21" spans="1:10" ht="12.75">
      <c r="A21" s="5">
        <v>20</v>
      </c>
      <c r="B21" s="8">
        <v>0</v>
      </c>
      <c r="C21" s="8">
        <v>0</v>
      </c>
      <c r="D21" s="8">
        <v>0</v>
      </c>
      <c r="E21" s="8">
        <v>0</v>
      </c>
      <c r="F21" s="7">
        <f t="shared" si="0"/>
        <v>0</v>
      </c>
      <c r="G21" s="6" t="str">
        <f>IF(ISERROR(RefStr!D45),"-",UPPER(TRIM(RefStr!D45)))</f>
        <v>016127167</v>
      </c>
      <c r="I21" s="9" t="s">
        <v>3008</v>
      </c>
      <c r="J21" s="8">
        <f t="shared" si="1"/>
        <v>0</v>
      </c>
    </row>
    <row r="22" spans="1:10" ht="12.75">
      <c r="A22" s="5">
        <v>21</v>
      </c>
      <c r="B22" s="8">
        <v>0</v>
      </c>
      <c r="C22" s="8">
        <v>0</v>
      </c>
      <c r="D22" s="8">
        <v>0</v>
      </c>
      <c r="E22" s="8">
        <v>0</v>
      </c>
      <c r="F22" s="7">
        <f t="shared" si="0"/>
        <v>0</v>
      </c>
      <c r="G22" s="6" t="str">
        <f>IF(ISERROR(RefStr!D47),"-",UPPER(TRIM(RefStr!D47)))</f>
        <v>016127923</v>
      </c>
      <c r="I22" s="11" t="s">
        <v>3009</v>
      </c>
      <c r="J22" s="8">
        <f t="shared" si="1"/>
        <v>0</v>
      </c>
    </row>
    <row r="23" spans="1:10" ht="12.75">
      <c r="A23" s="5">
        <v>22</v>
      </c>
      <c r="B23" s="8">
        <v>0</v>
      </c>
      <c r="C23" s="8">
        <v>0</v>
      </c>
      <c r="D23" s="8">
        <v>0</v>
      </c>
      <c r="E23" s="8">
        <v>0</v>
      </c>
      <c r="F23" s="7">
        <f t="shared" si="0"/>
        <v>0</v>
      </c>
      <c r="G23" s="6" t="str">
        <f>IF(ISERROR(RefStr!D49),"-",LOWER(TRIM(RefStr!D49)))</f>
        <v>vlatka.zguric@fina.hr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39816322504</v>
      </c>
      <c r="I38" s="9" t="s">
        <v>291</v>
      </c>
      <c r="J38" s="8">
        <f t="shared" si="3"/>
        <v>0</v>
      </c>
    </row>
    <row r="39" spans="1:10" ht="12.75">
      <c r="A39" s="5">
        <v>38</v>
      </c>
      <c r="B39" s="8">
        <v>0</v>
      </c>
      <c r="C39" s="8">
        <v>0</v>
      </c>
      <c r="D39" s="8">
        <v>0</v>
      </c>
      <c r="E39" s="8">
        <v>0</v>
      </c>
      <c r="F39" s="7">
        <f t="shared" si="2"/>
        <v>0</v>
      </c>
      <c r="G39" s="6" t="str">
        <f>TEXT(INT(VALUE(RefStr!J9)),"00000")</f>
        <v>65102</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36750651.37999999</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HR9123600001101680791</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01752235</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DEMOKRACIJU I PRAVO MIKO TRIPALO</v>
      </c>
      <c r="I4" s="9" t="s">
        <v>2212</v>
      </c>
      <c r="J4" s="8">
        <f t="shared" si="1"/>
        <v>0</v>
      </c>
    </row>
    <row r="5" spans="1:10" ht="12.75">
      <c r="A5" s="5">
        <f>GPRIZNPF!I22</f>
        <v>4</v>
      </c>
      <c r="B5" s="8">
        <f>GPRIZNPF!J22</f>
        <v>0</v>
      </c>
      <c r="C5" s="8">
        <f>GPRIZNPF!K22</f>
        <v>0</v>
      </c>
      <c r="D5" s="8">
        <v>0</v>
      </c>
      <c r="E5" s="8">
        <v>0</v>
      </c>
      <c r="F5" s="7">
        <f t="shared" si="0"/>
        <v>0</v>
      </c>
      <c r="G5" s="6" t="str">
        <f>TEXT(INT(VALUE(RefStr!C9)),"00000")</f>
        <v>10000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2214</v>
      </c>
      <c r="J6" s="8">
        <f t="shared" si="1"/>
        <v>0</v>
      </c>
    </row>
    <row r="7" spans="1:10" ht="12.75">
      <c r="A7" s="5">
        <f>GPRIZNPF!I24</f>
        <v>6</v>
      </c>
      <c r="B7" s="8">
        <f>GPRIZNPF!J24</f>
        <v>0</v>
      </c>
      <c r="C7" s="8">
        <f>GPRIZNPF!K24</f>
        <v>0</v>
      </c>
      <c r="D7" s="8">
        <v>0</v>
      </c>
      <c r="E7" s="8">
        <v>0</v>
      </c>
      <c r="F7" s="7">
        <f t="shared" si="0"/>
        <v>0</v>
      </c>
      <c r="G7" s="6" t="str">
        <f>IF(ISERROR(RefStr!C11),"-",(TRIM(RefStr!C11)))</f>
        <v>Ilica 5/II</v>
      </c>
      <c r="I7" s="9" t="s">
        <v>2215</v>
      </c>
      <c r="J7" s="8">
        <f t="shared" si="1"/>
        <v>0</v>
      </c>
    </row>
    <row r="8" spans="1:10" ht="12.75">
      <c r="A8" s="5">
        <f>GPRIZNPF!I25</f>
        <v>7</v>
      </c>
      <c r="B8" s="8">
        <f>GPRIZNPF!J25</f>
        <v>0</v>
      </c>
      <c r="C8" s="8">
        <f>GPRIZNPF!K25</f>
        <v>0</v>
      </c>
      <c r="D8" s="8">
        <v>0</v>
      </c>
      <c r="E8" s="8">
        <v>0</v>
      </c>
      <c r="F8" s="7">
        <f t="shared" si="0"/>
        <v>0</v>
      </c>
      <c r="G8" s="6" t="str">
        <f>TEXT(INT(VALUE(RefStr!C15)),"0000")</f>
        <v>9499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2217</v>
      </c>
      <c r="J9" s="8">
        <f t="shared" si="1"/>
        <v>0</v>
      </c>
    </row>
    <row r="10" spans="1:10" ht="12.75">
      <c r="A10" s="5">
        <f>GPRIZNPF!I27</f>
        <v>9</v>
      </c>
      <c r="B10" s="8">
        <f>GPRIZNPF!J27</f>
        <v>0</v>
      </c>
      <c r="C10" s="8">
        <f>GPRIZNPF!K27</f>
        <v>0</v>
      </c>
      <c r="D10" s="8">
        <v>0</v>
      </c>
      <c r="E10" s="8">
        <v>0</v>
      </c>
      <c r="F10" s="7">
        <f t="shared" si="0"/>
        <v>0</v>
      </c>
      <c r="G10" s="6" t="str">
        <f>TEXT(INT(VALUE(RefStr!C17)),"000")</f>
        <v>133</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TVRTKO JAKOVINA</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VLATKA ZGURIĆ DOBRENIĆ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016127167</v>
      </c>
      <c r="I21" s="9" t="s">
        <v>3008</v>
      </c>
      <c r="J21" s="8">
        <f t="shared" si="1"/>
        <v>0</v>
      </c>
    </row>
    <row r="22" spans="1:10" ht="12.75">
      <c r="A22" s="5">
        <f>GPRIZNPF!I40</f>
        <v>21</v>
      </c>
      <c r="B22" s="8">
        <f>GPRIZNPF!J40</f>
        <v>0</v>
      </c>
      <c r="C22" s="8">
        <f>GPRIZNPF!K40</f>
        <v>0</v>
      </c>
      <c r="D22" s="8">
        <v>0</v>
      </c>
      <c r="E22" s="8">
        <v>0</v>
      </c>
      <c r="F22" s="7">
        <f t="shared" si="2"/>
        <v>0</v>
      </c>
      <c r="G22" s="6" t="str">
        <f>IF(ISERROR(RefStr!D47),"-",UPPER(TRIM(RefStr!D47)))</f>
        <v>016127923</v>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vlatka.zguric@fina.hr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39816322504</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65102</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36750651.37999999</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9" activePane="bottomLeft" state="frozen"/>
      <selection pane="topLeft" activeCell="A1" sqref="A1"/>
      <selection pane="bottomLeft" activeCell="E51" sqref="E5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3082</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10000</v>
      </c>
      <c r="D9" s="96" t="s">
        <v>2364</v>
      </c>
      <c r="E9" s="346" t="s">
        <v>3083</v>
      </c>
      <c r="F9" s="350"/>
      <c r="G9" s="350"/>
      <c r="H9" s="351"/>
      <c r="I9" s="116" t="s">
        <v>1109</v>
      </c>
      <c r="J9" s="75">
        <v>65102</v>
      </c>
    </row>
    <row r="10" spans="2:10" ht="4.5" customHeight="1">
      <c r="B10" s="46"/>
      <c r="C10" s="46"/>
      <c r="D10" s="112"/>
      <c r="E10" s="110"/>
      <c r="F10" s="110"/>
      <c r="G10" s="110"/>
      <c r="H10" s="110"/>
      <c r="I10" s="110"/>
      <c r="J10" s="111"/>
    </row>
    <row r="11" spans="2:11" ht="15" customHeight="1">
      <c r="B11" s="96" t="s">
        <v>332</v>
      </c>
      <c r="C11" s="346" t="s">
        <v>3084</v>
      </c>
      <c r="D11" s="347"/>
      <c r="E11" s="347"/>
      <c r="F11" s="347"/>
      <c r="G11" s="347"/>
      <c r="H11" s="349"/>
      <c r="I11" s="117" t="s">
        <v>1860</v>
      </c>
      <c r="J11" s="42" t="s">
        <v>3086</v>
      </c>
      <c r="K11" s="111"/>
    </row>
    <row r="12" spans="2:10" ht="4.5" customHeight="1">
      <c r="B12" s="46"/>
      <c r="C12" s="46"/>
      <c r="D12" s="112"/>
      <c r="E12" s="110"/>
      <c r="F12" s="110"/>
      <c r="G12" s="110"/>
      <c r="H12" s="110"/>
      <c r="I12" s="110"/>
      <c r="J12" s="111"/>
    </row>
    <row r="13" spans="2:10" ht="15" customHeight="1">
      <c r="B13" s="96" t="s">
        <v>3061</v>
      </c>
      <c r="C13" s="368" t="s">
        <v>3085</v>
      </c>
      <c r="D13" s="369"/>
      <c r="E13" s="370"/>
      <c r="G13" s="3"/>
      <c r="H13" s="47"/>
      <c r="I13" s="116" t="s">
        <v>1110</v>
      </c>
      <c r="J13" s="74">
        <v>39816322504</v>
      </c>
    </row>
    <row r="14" spans="2:10" ht="4.5" customHeight="1">
      <c r="B14" s="46"/>
      <c r="C14" s="46"/>
      <c r="D14" s="112"/>
      <c r="E14" s="110"/>
      <c r="F14" s="110"/>
      <c r="G14" s="110"/>
      <c r="H14" s="110"/>
      <c r="I14" s="110"/>
      <c r="J14" s="111"/>
    </row>
    <row r="15" spans="2:10" ht="15" customHeight="1">
      <c r="B15" s="117" t="s">
        <v>334</v>
      </c>
      <c r="C15" s="42" t="s">
        <v>2805</v>
      </c>
      <c r="D15" s="357" t="str">
        <f>IF(C15&lt;&gt;"",LOOKUP(C15,T23:T640,U23:U640),"")</f>
        <v>Djelatnosti ostalih članskih organizacija, d. n.</v>
      </c>
      <c r="E15" s="358"/>
      <c r="F15" s="358"/>
      <c r="G15" s="358"/>
      <c r="H15" s="358"/>
      <c r="I15" s="117" t="s">
        <v>1226</v>
      </c>
      <c r="J15" s="282" t="s">
        <v>192</v>
      </c>
    </row>
    <row r="16" spans="4:8" ht="4.5" customHeight="1">
      <c r="D16" s="3"/>
      <c r="E16" s="114"/>
      <c r="F16" s="48"/>
      <c r="G16" s="115"/>
      <c r="H16" s="3"/>
    </row>
    <row r="17" spans="2:10" ht="15" customHeight="1">
      <c r="B17" s="224" t="s">
        <v>1227</v>
      </c>
      <c r="C17" s="76">
        <v>133</v>
      </c>
      <c r="D17" s="357" t="str">
        <f>IF(C17&lt;&gt;"","Grad/općina: "&amp;LOOKUP(C17,M23:M580,N23:N580),"")</f>
        <v>Grad/općina: GRAD ZAGREB</v>
      </c>
      <c r="E17" s="358"/>
      <c r="F17" s="358"/>
      <c r="G17" s="358"/>
      <c r="H17" s="358"/>
      <c r="I17" s="116" t="s">
        <v>333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36750651.37999999</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177579</v>
      </c>
      <c r="J24" s="213">
        <f>BIL!K19</f>
        <v>122686</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177579</v>
      </c>
      <c r="J25" s="216">
        <f>BIL!K164</f>
        <v>122685</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343113</v>
      </c>
      <c r="J27" s="213">
        <f>PRRAS!K19</f>
        <v>247859</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253576</v>
      </c>
      <c r="J28" s="215">
        <f>PRRAS!K167</f>
        <v>310917</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160259</v>
      </c>
      <c r="J29" s="215">
        <f>PRRAS!K173</f>
        <v>97201</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3087</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t="s">
        <v>3081</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3077</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3078</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t="s">
        <v>3079</v>
      </c>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3080</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68" activePane="bottomLeft" state="frozen"/>
      <selection pane="topLeft" activeCell="A1" sqref="A1"/>
      <selection pane="bottomLeft" activeCell="K182" sqref="K18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Centar za demokraciju i pravo Miko Tripalo</v>
      </c>
      <c r="E7" s="444"/>
      <c r="F7" s="444"/>
      <c r="G7" s="444"/>
      <c r="H7" s="444"/>
      <c r="I7" s="444"/>
      <c r="J7" s="444"/>
      <c r="K7" s="444"/>
      <c r="L7" s="444"/>
      <c r="P7" s="27" t="s">
        <v>1941</v>
      </c>
    </row>
    <row r="8" spans="2:12" s="118" customFormat="1" ht="18" customHeight="1" thickBot="1">
      <c r="B8" s="416" t="s">
        <v>2361</v>
      </c>
      <c r="C8" s="416"/>
      <c r="D8" s="231">
        <f>IF(RefStr!N4=1,IF(RefStr!C9&lt;&gt;"",RefStr!C9,""),"")</f>
        <v>10000</v>
      </c>
      <c r="E8" s="121"/>
      <c r="F8" s="128" t="s">
        <v>2364</v>
      </c>
      <c r="G8" s="423" t="str">
        <f>IF(RefStr!N4=1,IF(RefStr!E9&lt;&gt;"",RefStr!E9,""),"")</f>
        <v>Zagreb</v>
      </c>
      <c r="H8" s="424"/>
      <c r="I8" s="424"/>
      <c r="J8" s="424"/>
      <c r="K8" s="424"/>
      <c r="L8" s="424"/>
    </row>
    <row r="9" spans="2:12" s="118" customFormat="1" ht="18" customHeight="1" thickBot="1">
      <c r="B9" s="416" t="s">
        <v>332</v>
      </c>
      <c r="C9" s="416"/>
      <c r="D9" s="423" t="str">
        <f>IF(RefStr!N4=1,IF(RefStr!C11&lt;&gt;"",RefStr!C11,""),"")</f>
        <v>Ilica 5/II</v>
      </c>
      <c r="E9" s="423"/>
      <c r="F9" s="423"/>
      <c r="G9" s="423"/>
      <c r="H9" s="423"/>
      <c r="I9" s="423"/>
      <c r="J9" s="423"/>
      <c r="K9" s="423"/>
      <c r="L9" s="423"/>
    </row>
    <row r="10" spans="2:12" s="118" customFormat="1" ht="18" customHeight="1" thickBot="1">
      <c r="B10" s="416" t="s">
        <v>3061</v>
      </c>
      <c r="C10" s="416" t="s">
        <v>1225</v>
      </c>
      <c r="D10" s="428" t="str">
        <f>IF(RefStr!N4=1,IF(RefStr!C13&lt;&gt;"",RefStr!C13,""),"")</f>
        <v>HR9123600001101680791</v>
      </c>
      <c r="E10" s="429"/>
      <c r="F10" s="429"/>
      <c r="G10" s="122"/>
      <c r="H10" s="122"/>
      <c r="I10" s="136"/>
      <c r="J10" s="128" t="s">
        <v>1109</v>
      </c>
      <c r="K10" s="227">
        <f>IF(RefStr!N4=1,IF(RefStr!J9&lt;&gt;"",RefStr!J9,""),"")</f>
        <v>65102</v>
      </c>
      <c r="L10" s="136"/>
    </row>
    <row r="11" spans="2:12" s="118" customFormat="1" ht="18" customHeight="1" thickBot="1">
      <c r="B11" s="396" t="s">
        <v>334</v>
      </c>
      <c r="C11" s="397"/>
      <c r="D11" s="120" t="str">
        <f>IF(RefStr!N4=1,IF(RefStr!C15&lt;&gt;"",RefStr!C15,""),"")</f>
        <v>9499</v>
      </c>
      <c r="E11" s="232" t="str">
        <f>IF(RefStr!D15&lt;&gt;"",RefStr!D15,"")</f>
        <v>Djelatnosti ostalih članskih organizacija, d. n.</v>
      </c>
      <c r="F11" s="123"/>
      <c r="G11" s="136"/>
      <c r="H11" s="136"/>
      <c r="I11" s="137"/>
      <c r="J11" s="208" t="s">
        <v>1860</v>
      </c>
      <c r="K11" s="226" t="str">
        <f>IF(RefStr!N4=1,IF(RefStr!J11&lt;&gt;"",RefStr!J11,""),"")</f>
        <v>01752235</v>
      </c>
      <c r="L11" s="136"/>
    </row>
    <row r="12" spans="2:12" s="118" customFormat="1" ht="18" customHeight="1" thickBot="1">
      <c r="B12" s="416" t="s">
        <v>1227</v>
      </c>
      <c r="C12" s="397"/>
      <c r="D12" s="124">
        <f>IF(RefStr!N4=1,IF(RefStr!C17&lt;&gt;"",RefStr!C17,""),"")</f>
        <v>133</v>
      </c>
      <c r="E12" s="233" t="str">
        <f>IF(RefStr!D17&lt;&gt;"",RefStr!D17,"")</f>
        <v>Grad/općina: GRAD ZAGREB</v>
      </c>
      <c r="F12" s="125"/>
      <c r="G12" s="122"/>
      <c r="H12" s="122"/>
      <c r="I12" s="126"/>
      <c r="J12" s="208" t="s">
        <v>1110</v>
      </c>
      <c r="K12" s="417">
        <f>IF(RefStr!N4=1,IF(RefStr!J13&lt;&gt;"",RefStr!J13,""),"")</f>
        <v>39816322504</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21</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343113</v>
      </c>
      <c r="K19" s="272">
        <f>K20+K23+K26+K29+K42+K58+K67</f>
        <v>247859</v>
      </c>
      <c r="L19" s="78">
        <f>IF(J19&gt;0,IF(K19/J19&gt;=100,"&gt;&gt;100",K19/J19*100),"-")</f>
        <v>72.23830050158404</v>
      </c>
    </row>
    <row r="20" spans="2:12" ht="12.75">
      <c r="B20" s="284">
        <v>31</v>
      </c>
      <c r="C20" s="389" t="s">
        <v>556</v>
      </c>
      <c r="D20" s="389"/>
      <c r="E20" s="389"/>
      <c r="F20" s="389"/>
      <c r="G20" s="389"/>
      <c r="H20" s="389"/>
      <c r="I20" s="142">
        <v>2</v>
      </c>
      <c r="J20" s="273">
        <f>J21+J22</f>
        <v>57714</v>
      </c>
      <c r="K20" s="273">
        <f>K21+K22</f>
        <v>31439</v>
      </c>
      <c r="L20" s="79">
        <f>IF(J20&gt;0,IF(K20/J20&gt;=100,"&gt;&gt;100",K20/J20*100),"-")</f>
        <v>54.473784523685765</v>
      </c>
    </row>
    <row r="21" spans="2:12" ht="12.75">
      <c r="B21" s="284">
        <v>3111</v>
      </c>
      <c r="C21" s="389" t="s">
        <v>3051</v>
      </c>
      <c r="D21" s="389"/>
      <c r="E21" s="389"/>
      <c r="F21" s="389"/>
      <c r="G21" s="389"/>
      <c r="H21" s="389"/>
      <c r="I21" s="142">
        <v>3</v>
      </c>
      <c r="J21" s="80">
        <v>57714</v>
      </c>
      <c r="K21" s="80">
        <v>31439</v>
      </c>
      <c r="L21" s="79">
        <f aca="true" t="shared" si="0" ref="L21:L69">IF(J21&gt;0,IF(K21/J21&gt;=100,"&gt;&gt;100",K21/J21*100),"-")</f>
        <v>54.473784523685765</v>
      </c>
    </row>
    <row r="22" spans="2:12" ht="12.75">
      <c r="B22" s="284">
        <v>3112</v>
      </c>
      <c r="C22" s="389" t="s">
        <v>3052</v>
      </c>
      <c r="D22" s="389"/>
      <c r="E22" s="389"/>
      <c r="F22" s="389"/>
      <c r="G22" s="389"/>
      <c r="H22" s="389"/>
      <c r="I22" s="142">
        <v>4</v>
      </c>
      <c r="J22" s="80"/>
      <c r="K22" s="80"/>
      <c r="L22" s="79" t="str">
        <f t="shared" si="0"/>
        <v>-</v>
      </c>
    </row>
    <row r="23" spans="2:12" ht="12.75">
      <c r="B23" s="284">
        <v>32</v>
      </c>
      <c r="C23" s="389" t="s">
        <v>557</v>
      </c>
      <c r="D23" s="389"/>
      <c r="E23" s="389"/>
      <c r="F23" s="389"/>
      <c r="G23" s="389"/>
      <c r="H23" s="389"/>
      <c r="I23" s="142">
        <v>5</v>
      </c>
      <c r="J23" s="273">
        <f>J24+J25</f>
        <v>200</v>
      </c>
      <c r="K23" s="273">
        <f>K24+K25</f>
        <v>0</v>
      </c>
      <c r="L23" s="79">
        <f t="shared" si="0"/>
        <v>0</v>
      </c>
    </row>
    <row r="24" spans="2:12" ht="12.75">
      <c r="B24" s="284">
        <v>3211</v>
      </c>
      <c r="C24" s="389" t="s">
        <v>3069</v>
      </c>
      <c r="D24" s="389"/>
      <c r="E24" s="389"/>
      <c r="F24" s="389"/>
      <c r="G24" s="389"/>
      <c r="H24" s="389"/>
      <c r="I24" s="142">
        <v>6</v>
      </c>
      <c r="J24" s="80">
        <v>200</v>
      </c>
      <c r="K24" s="80"/>
      <c r="L24" s="79">
        <f t="shared" si="0"/>
        <v>0</v>
      </c>
    </row>
    <row r="25" spans="2:12" ht="12.75">
      <c r="B25" s="284">
        <v>3212</v>
      </c>
      <c r="C25" s="389" t="s">
        <v>3053</v>
      </c>
      <c r="D25" s="389"/>
      <c r="E25" s="389"/>
      <c r="F25" s="389"/>
      <c r="G25" s="389"/>
      <c r="H25" s="389"/>
      <c r="I25" s="142">
        <v>7</v>
      </c>
      <c r="J25" s="80"/>
      <c r="K25" s="80"/>
      <c r="L25" s="79" t="str">
        <f t="shared" si="0"/>
        <v>-</v>
      </c>
    </row>
    <row r="26" spans="2:12" ht="12.75">
      <c r="B26" s="284">
        <v>33</v>
      </c>
      <c r="C26" s="389" t="s">
        <v>558</v>
      </c>
      <c r="D26" s="389"/>
      <c r="E26" s="389"/>
      <c r="F26" s="389"/>
      <c r="G26" s="389"/>
      <c r="H26" s="389"/>
      <c r="I26" s="142">
        <v>8</v>
      </c>
      <c r="J26" s="273">
        <f>J27+J28</f>
        <v>0</v>
      </c>
      <c r="K26" s="273">
        <f>K27+K28</f>
        <v>8233</v>
      </c>
      <c r="L26" s="79" t="str">
        <f t="shared" si="0"/>
        <v>-</v>
      </c>
    </row>
    <row r="27" spans="2:12" ht="12.75">
      <c r="B27" s="284">
        <v>3311</v>
      </c>
      <c r="C27" s="389" t="s">
        <v>3054</v>
      </c>
      <c r="D27" s="389"/>
      <c r="E27" s="389"/>
      <c r="F27" s="389"/>
      <c r="G27" s="389"/>
      <c r="H27" s="389"/>
      <c r="I27" s="142">
        <v>9</v>
      </c>
      <c r="J27" s="80"/>
      <c r="K27" s="80">
        <v>8233</v>
      </c>
      <c r="L27" s="79" t="str">
        <f t="shared" si="0"/>
        <v>-</v>
      </c>
    </row>
    <row r="28" spans="2:12" ht="12.75">
      <c r="B28" s="284">
        <v>3312</v>
      </c>
      <c r="C28" s="389" t="s">
        <v>3055</v>
      </c>
      <c r="D28" s="389"/>
      <c r="E28" s="389"/>
      <c r="F28" s="389"/>
      <c r="G28" s="389"/>
      <c r="H28" s="389"/>
      <c r="I28" s="142">
        <v>10</v>
      </c>
      <c r="J28" s="80"/>
      <c r="K28" s="80"/>
      <c r="L28" s="79" t="str">
        <f t="shared" si="0"/>
        <v>-</v>
      </c>
    </row>
    <row r="29" spans="2:12" ht="12.75">
      <c r="B29" s="284">
        <v>34</v>
      </c>
      <c r="C29" s="389" t="s">
        <v>559</v>
      </c>
      <c r="D29" s="389"/>
      <c r="E29" s="389"/>
      <c r="F29" s="389"/>
      <c r="G29" s="389"/>
      <c r="H29" s="389"/>
      <c r="I29" s="142">
        <v>11</v>
      </c>
      <c r="J29" s="273">
        <f>J30+J39</f>
        <v>23</v>
      </c>
      <c r="K29" s="273">
        <f>K30+K39</f>
        <v>20</v>
      </c>
      <c r="L29" s="79">
        <f t="shared" si="0"/>
        <v>86.95652173913044</v>
      </c>
    </row>
    <row r="30" spans="2:12" ht="12.75">
      <c r="B30" s="284">
        <v>341</v>
      </c>
      <c r="C30" s="389" t="s">
        <v>560</v>
      </c>
      <c r="D30" s="389"/>
      <c r="E30" s="389"/>
      <c r="F30" s="389"/>
      <c r="G30" s="389"/>
      <c r="H30" s="389"/>
      <c r="I30" s="142">
        <v>12</v>
      </c>
      <c r="J30" s="273">
        <f>SUM(J31:J38)</f>
        <v>23</v>
      </c>
      <c r="K30" s="273">
        <f>SUM(K31:K38)</f>
        <v>20</v>
      </c>
      <c r="L30" s="79">
        <f t="shared" si="0"/>
        <v>86.95652173913044</v>
      </c>
    </row>
    <row r="31" spans="2:12" ht="12.75">
      <c r="B31" s="284">
        <v>3411</v>
      </c>
      <c r="C31" s="389" t="s">
        <v>3056</v>
      </c>
      <c r="D31" s="389"/>
      <c r="E31" s="389"/>
      <c r="F31" s="389"/>
      <c r="G31" s="389"/>
      <c r="H31" s="389"/>
      <c r="I31" s="142">
        <v>13</v>
      </c>
      <c r="J31" s="80"/>
      <c r="K31" s="80"/>
      <c r="L31" s="79" t="str">
        <f t="shared" si="0"/>
        <v>-</v>
      </c>
    </row>
    <row r="32" spans="2:12" ht="12.75">
      <c r="B32" s="284">
        <v>3412</v>
      </c>
      <c r="C32" s="389" t="s">
        <v>3057</v>
      </c>
      <c r="D32" s="389"/>
      <c r="E32" s="389"/>
      <c r="F32" s="389"/>
      <c r="G32" s="389"/>
      <c r="H32" s="389"/>
      <c r="I32" s="142">
        <v>14</v>
      </c>
      <c r="J32" s="80"/>
      <c r="K32" s="80"/>
      <c r="L32" s="79" t="str">
        <f t="shared" si="0"/>
        <v>-</v>
      </c>
    </row>
    <row r="33" spans="2:12" ht="12.75">
      <c r="B33" s="284">
        <v>3413</v>
      </c>
      <c r="C33" s="389" t="s">
        <v>3058</v>
      </c>
      <c r="D33" s="389"/>
      <c r="E33" s="389"/>
      <c r="F33" s="389"/>
      <c r="G33" s="389"/>
      <c r="H33" s="389"/>
      <c r="I33" s="142">
        <v>15</v>
      </c>
      <c r="J33" s="80">
        <v>12</v>
      </c>
      <c r="K33" s="80">
        <v>7</v>
      </c>
      <c r="L33" s="79">
        <f t="shared" si="0"/>
        <v>58.333333333333336</v>
      </c>
    </row>
    <row r="34" spans="2:12" ht="12.75">
      <c r="B34" s="284">
        <v>3414</v>
      </c>
      <c r="C34" s="389" t="s">
        <v>3059</v>
      </c>
      <c r="D34" s="389"/>
      <c r="E34" s="389"/>
      <c r="F34" s="389"/>
      <c r="G34" s="389"/>
      <c r="H34" s="389"/>
      <c r="I34" s="142">
        <v>16</v>
      </c>
      <c r="J34" s="80"/>
      <c r="K34" s="80"/>
      <c r="L34" s="79" t="str">
        <f t="shared" si="0"/>
        <v>-</v>
      </c>
    </row>
    <row r="35" spans="2:12" ht="12.75">
      <c r="B35" s="284">
        <v>3415</v>
      </c>
      <c r="C35" s="389" t="s">
        <v>3060</v>
      </c>
      <c r="D35" s="389"/>
      <c r="E35" s="389"/>
      <c r="F35" s="389"/>
      <c r="G35" s="389"/>
      <c r="H35" s="389"/>
      <c r="I35" s="142">
        <v>17</v>
      </c>
      <c r="J35" s="80">
        <v>11</v>
      </c>
      <c r="K35" s="80">
        <v>13</v>
      </c>
      <c r="L35" s="79">
        <f t="shared" si="0"/>
        <v>118.18181818181819</v>
      </c>
    </row>
    <row r="36" spans="2:12" ht="12.75">
      <c r="B36" s="284">
        <v>3416</v>
      </c>
      <c r="C36" s="389" t="s">
        <v>274</v>
      </c>
      <c r="D36" s="389"/>
      <c r="E36" s="389"/>
      <c r="F36" s="389"/>
      <c r="G36" s="389"/>
      <c r="H36" s="389"/>
      <c r="I36" s="142">
        <v>18</v>
      </c>
      <c r="J36" s="80"/>
      <c r="K36" s="80"/>
      <c r="L36" s="79" t="str">
        <f t="shared" si="0"/>
        <v>-</v>
      </c>
    </row>
    <row r="37" spans="2:12" ht="12.75">
      <c r="B37" s="284">
        <v>3417</v>
      </c>
      <c r="C37" s="395" t="s">
        <v>275</v>
      </c>
      <c r="D37" s="395"/>
      <c r="E37" s="395"/>
      <c r="F37" s="395"/>
      <c r="G37" s="395"/>
      <c r="H37" s="395"/>
      <c r="I37" s="142">
        <v>19</v>
      </c>
      <c r="J37" s="80"/>
      <c r="K37" s="80"/>
      <c r="L37" s="79" t="str">
        <f t="shared" si="0"/>
        <v>-</v>
      </c>
    </row>
    <row r="38" spans="2:12" ht="12.75">
      <c r="B38" s="284">
        <v>3418</v>
      </c>
      <c r="C38" s="389" t="s">
        <v>276</v>
      </c>
      <c r="D38" s="389"/>
      <c r="E38" s="389"/>
      <c r="F38" s="389"/>
      <c r="G38" s="389"/>
      <c r="H38" s="389"/>
      <c r="I38" s="142">
        <v>20</v>
      </c>
      <c r="J38" s="80"/>
      <c r="K38" s="80"/>
      <c r="L38" s="79" t="str">
        <f t="shared" si="0"/>
        <v>-</v>
      </c>
    </row>
    <row r="39" spans="2:12" ht="12.75">
      <c r="B39" s="284">
        <v>342</v>
      </c>
      <c r="C39" s="389" t="s">
        <v>1078</v>
      </c>
      <c r="D39" s="389"/>
      <c r="E39" s="389"/>
      <c r="F39" s="389"/>
      <c r="G39" s="389"/>
      <c r="H39" s="389"/>
      <c r="I39" s="142">
        <v>21</v>
      </c>
      <c r="J39" s="273">
        <f>J40+J41</f>
        <v>0</v>
      </c>
      <c r="K39" s="273">
        <f>K40+K41</f>
        <v>0</v>
      </c>
      <c r="L39" s="79" t="str">
        <f t="shared" si="0"/>
        <v>-</v>
      </c>
    </row>
    <row r="40" spans="2:12" ht="12.75">
      <c r="B40" s="284">
        <v>3421</v>
      </c>
      <c r="C40" s="389" t="s">
        <v>277</v>
      </c>
      <c r="D40" s="389"/>
      <c r="E40" s="389"/>
      <c r="F40" s="389"/>
      <c r="G40" s="389"/>
      <c r="H40" s="389"/>
      <c r="I40" s="142">
        <v>22</v>
      </c>
      <c r="J40" s="80"/>
      <c r="K40" s="80"/>
      <c r="L40" s="79" t="str">
        <f t="shared" si="0"/>
        <v>-</v>
      </c>
    </row>
    <row r="41" spans="2:12" ht="12.75">
      <c r="B41" s="284">
        <v>3422</v>
      </c>
      <c r="C41" s="389" t="s">
        <v>278</v>
      </c>
      <c r="D41" s="389"/>
      <c r="E41" s="389"/>
      <c r="F41" s="389"/>
      <c r="G41" s="389"/>
      <c r="H41" s="389"/>
      <c r="I41" s="142">
        <v>23</v>
      </c>
      <c r="J41" s="80"/>
      <c r="K41" s="80"/>
      <c r="L41" s="79" t="str">
        <f t="shared" si="0"/>
        <v>-</v>
      </c>
    </row>
    <row r="42" spans="2:12" ht="12.75" customHeight="1">
      <c r="B42" s="284">
        <v>35</v>
      </c>
      <c r="C42" s="399" t="s">
        <v>2449</v>
      </c>
      <c r="D42" s="384"/>
      <c r="E42" s="384"/>
      <c r="F42" s="384"/>
      <c r="G42" s="384"/>
      <c r="H42" s="385"/>
      <c r="I42" s="142">
        <v>24</v>
      </c>
      <c r="J42" s="273">
        <f>J43+J48+J51+J54+J55</f>
        <v>285176</v>
      </c>
      <c r="K42" s="273">
        <f>K43+K48+K51+K54+K55</f>
        <v>208167</v>
      </c>
      <c r="L42" s="79">
        <f t="shared" si="0"/>
        <v>72.99597441579937</v>
      </c>
    </row>
    <row r="43" spans="2:12" ht="12.75" customHeight="1">
      <c r="B43" s="284">
        <v>351</v>
      </c>
      <c r="C43" s="400" t="s">
        <v>2441</v>
      </c>
      <c r="D43" s="400"/>
      <c r="E43" s="400"/>
      <c r="F43" s="400"/>
      <c r="G43" s="400"/>
      <c r="H43" s="400"/>
      <c r="I43" s="142">
        <v>25</v>
      </c>
      <c r="J43" s="273">
        <f>SUM(J44:J47)</f>
        <v>15000</v>
      </c>
      <c r="K43" s="273">
        <f>SUM(K44:K47)</f>
        <v>43160</v>
      </c>
      <c r="L43" s="79">
        <f t="shared" si="0"/>
        <v>287.73333333333335</v>
      </c>
    </row>
    <row r="44" spans="2:12" ht="12.75">
      <c r="B44" s="284">
        <v>3511</v>
      </c>
      <c r="C44" s="389" t="s">
        <v>279</v>
      </c>
      <c r="D44" s="389"/>
      <c r="E44" s="389"/>
      <c r="F44" s="389"/>
      <c r="G44" s="389"/>
      <c r="H44" s="389"/>
      <c r="I44" s="142">
        <v>26</v>
      </c>
      <c r="J44" s="80"/>
      <c r="K44" s="80">
        <v>43160</v>
      </c>
      <c r="L44" s="79" t="str">
        <f t="shared" si="0"/>
        <v>-</v>
      </c>
    </row>
    <row r="45" spans="2:12" ht="12.75">
      <c r="B45" s="284">
        <v>3512</v>
      </c>
      <c r="C45" s="389" t="s">
        <v>280</v>
      </c>
      <c r="D45" s="389"/>
      <c r="E45" s="389"/>
      <c r="F45" s="389"/>
      <c r="G45" s="389"/>
      <c r="H45" s="389"/>
      <c r="I45" s="142">
        <v>27</v>
      </c>
      <c r="J45" s="80">
        <v>15000</v>
      </c>
      <c r="K45" s="80"/>
      <c r="L45" s="79">
        <f t="shared" si="0"/>
        <v>0</v>
      </c>
    </row>
    <row r="46" spans="2:12" ht="12.75" customHeight="1">
      <c r="B46" s="284">
        <v>3513</v>
      </c>
      <c r="C46" s="400" t="s">
        <v>2437</v>
      </c>
      <c r="D46" s="400"/>
      <c r="E46" s="400"/>
      <c r="F46" s="400"/>
      <c r="G46" s="400"/>
      <c r="H46" s="400"/>
      <c r="I46" s="142">
        <v>28</v>
      </c>
      <c r="J46" s="80"/>
      <c r="K46" s="80"/>
      <c r="L46" s="79" t="str">
        <f>IF(J46&gt;0,IF(K46/J46&gt;=100,"&gt;&gt;100",K46/J46*100),"-")</f>
        <v>-</v>
      </c>
    </row>
    <row r="47" spans="2:12" ht="24.75" customHeight="1">
      <c r="B47" s="284">
        <v>3514</v>
      </c>
      <c r="C47" s="400" t="s">
        <v>2438</v>
      </c>
      <c r="D47" s="400"/>
      <c r="E47" s="400"/>
      <c r="F47" s="400"/>
      <c r="G47" s="400"/>
      <c r="H47" s="400"/>
      <c r="I47" s="142">
        <v>29</v>
      </c>
      <c r="J47" s="80"/>
      <c r="K47" s="80"/>
      <c r="L47" s="79" t="str">
        <f>IF(J47&gt;0,IF(K47/J47&gt;=100,"&gt;&gt;100",K47/J47*100),"-")</f>
        <v>-</v>
      </c>
    </row>
    <row r="48" spans="2:12" ht="12.75" customHeight="1">
      <c r="B48" s="284">
        <v>352</v>
      </c>
      <c r="C48" s="403" t="s">
        <v>2440</v>
      </c>
      <c r="D48" s="403"/>
      <c r="E48" s="403"/>
      <c r="F48" s="403"/>
      <c r="G48" s="403"/>
      <c r="H48" s="403"/>
      <c r="I48" s="142">
        <v>30</v>
      </c>
      <c r="J48" s="273">
        <f>J49+J50</f>
        <v>97132</v>
      </c>
      <c r="K48" s="273">
        <f>K49+K50</f>
        <v>0</v>
      </c>
      <c r="L48" s="79">
        <f t="shared" si="0"/>
        <v>0</v>
      </c>
    </row>
    <row r="49" spans="2:12" ht="12.75">
      <c r="B49" s="284">
        <v>3521</v>
      </c>
      <c r="C49" s="400" t="s">
        <v>983</v>
      </c>
      <c r="D49" s="400"/>
      <c r="E49" s="400"/>
      <c r="F49" s="400"/>
      <c r="G49" s="400"/>
      <c r="H49" s="400"/>
      <c r="I49" s="142">
        <v>31</v>
      </c>
      <c r="J49" s="80">
        <v>97132</v>
      </c>
      <c r="K49" s="80"/>
      <c r="L49" s="79">
        <f>IF(J49&gt;0,IF(K49/J49&gt;=100,"&gt;&gt;100",K49/J49*100),"-")</f>
        <v>0</v>
      </c>
    </row>
    <row r="50" spans="2:12" ht="12.75">
      <c r="B50" s="284">
        <v>3522</v>
      </c>
      <c r="C50" s="400" t="s">
        <v>2439</v>
      </c>
      <c r="D50" s="400"/>
      <c r="E50" s="400"/>
      <c r="F50" s="400"/>
      <c r="G50" s="400"/>
      <c r="H50" s="400"/>
      <c r="I50" s="142">
        <v>32</v>
      </c>
      <c r="J50" s="80"/>
      <c r="K50" s="80"/>
      <c r="L50" s="79" t="str">
        <f>IF(J50&gt;0,IF(K50/J50&gt;=100,"&gt;&gt;100",K50/J50*100),"-")</f>
        <v>-</v>
      </c>
    </row>
    <row r="51" spans="2:12" ht="12.75" customHeight="1">
      <c r="B51" s="284">
        <v>353</v>
      </c>
      <c r="C51" s="400" t="s">
        <v>2442</v>
      </c>
      <c r="D51" s="400"/>
      <c r="E51" s="400"/>
      <c r="F51" s="400"/>
      <c r="G51" s="400"/>
      <c r="H51" s="400"/>
      <c r="I51" s="142">
        <v>33</v>
      </c>
      <c r="J51" s="273">
        <f>J52+J53</f>
        <v>150000</v>
      </c>
      <c r="K51" s="273">
        <f>K52+K53</f>
        <v>150000</v>
      </c>
      <c r="L51" s="79">
        <f t="shared" si="0"/>
        <v>100</v>
      </c>
    </row>
    <row r="52" spans="2:12" ht="12.75" customHeight="1">
      <c r="B52" s="284">
        <v>3531</v>
      </c>
      <c r="C52" s="400" t="s">
        <v>3015</v>
      </c>
      <c r="D52" s="400"/>
      <c r="E52" s="400"/>
      <c r="F52" s="400"/>
      <c r="G52" s="400"/>
      <c r="H52" s="400"/>
      <c r="I52" s="142">
        <v>34</v>
      </c>
      <c r="J52" s="80">
        <v>150000</v>
      </c>
      <c r="K52" s="80">
        <v>150000</v>
      </c>
      <c r="L52" s="79">
        <f t="shared" si="0"/>
        <v>100</v>
      </c>
    </row>
    <row r="53" spans="2:12" ht="12.75" customHeight="1">
      <c r="B53" s="284">
        <v>3532</v>
      </c>
      <c r="C53" s="400" t="s">
        <v>2443</v>
      </c>
      <c r="D53" s="400"/>
      <c r="E53" s="400"/>
      <c r="F53" s="400"/>
      <c r="G53" s="400"/>
      <c r="H53" s="400"/>
      <c r="I53" s="142">
        <v>35</v>
      </c>
      <c r="J53" s="80"/>
      <c r="K53" s="80"/>
      <c r="L53" s="79" t="str">
        <f t="shared" si="0"/>
        <v>-</v>
      </c>
    </row>
    <row r="54" spans="2:12" ht="12.75">
      <c r="B54" s="284">
        <v>354</v>
      </c>
      <c r="C54" s="389" t="s">
        <v>3016</v>
      </c>
      <c r="D54" s="389"/>
      <c r="E54" s="389"/>
      <c r="F54" s="389"/>
      <c r="G54" s="389"/>
      <c r="H54" s="389"/>
      <c r="I54" s="142">
        <v>36</v>
      </c>
      <c r="J54" s="80">
        <v>23044</v>
      </c>
      <c r="K54" s="80">
        <v>15007</v>
      </c>
      <c r="L54" s="79">
        <f t="shared" si="0"/>
        <v>65.12324249262281</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c r="K56" s="80"/>
      <c r="L56" s="79" t="str">
        <f>IF(J56&gt;0,IF(K56/J56&gt;=100,"&gt;&gt;100",K56/J56*100),"-")</f>
        <v>-</v>
      </c>
    </row>
    <row r="57" spans="2:12" ht="12.75" customHeight="1">
      <c r="B57" s="284">
        <v>3552</v>
      </c>
      <c r="C57" s="400" t="s">
        <v>2445</v>
      </c>
      <c r="D57" s="400"/>
      <c r="E57" s="400"/>
      <c r="F57" s="400"/>
      <c r="G57" s="400"/>
      <c r="H57" s="400"/>
      <c r="I57" s="142">
        <v>39</v>
      </c>
      <c r="J57" s="80"/>
      <c r="K57" s="80"/>
      <c r="L57" s="79" t="str">
        <f>IF(J57&gt;0,IF(K57/J57&gt;=100,"&gt;&gt;100",K57/J57*100),"-")</f>
        <v>-</v>
      </c>
    </row>
    <row r="58" spans="2:12" ht="12.75" customHeight="1">
      <c r="B58" s="284">
        <v>36</v>
      </c>
      <c r="C58" s="399" t="s">
        <v>2450</v>
      </c>
      <c r="D58" s="384"/>
      <c r="E58" s="384"/>
      <c r="F58" s="384"/>
      <c r="G58" s="384"/>
      <c r="H58" s="385"/>
      <c r="I58" s="142">
        <v>40</v>
      </c>
      <c r="J58" s="273">
        <f>J59+J62+J63</f>
        <v>0</v>
      </c>
      <c r="K58" s="273">
        <f>K59+K62+K63</f>
        <v>0</v>
      </c>
      <c r="L58" s="79" t="str">
        <f t="shared" si="0"/>
        <v>-</v>
      </c>
    </row>
    <row r="59" spans="2:12" ht="12.75" customHeight="1">
      <c r="B59" s="284">
        <v>361</v>
      </c>
      <c r="C59" s="399" t="s">
        <v>2451</v>
      </c>
      <c r="D59" s="384"/>
      <c r="E59" s="384"/>
      <c r="F59" s="384"/>
      <c r="G59" s="384"/>
      <c r="H59" s="385"/>
      <c r="I59" s="142">
        <v>41</v>
      </c>
      <c r="J59" s="273">
        <f>J60+J61</f>
        <v>0</v>
      </c>
      <c r="K59" s="273">
        <f>K60+K61</f>
        <v>0</v>
      </c>
      <c r="L59" s="79" t="str">
        <f t="shared" si="0"/>
        <v>-</v>
      </c>
    </row>
    <row r="60" spans="2:12" ht="12.75">
      <c r="B60" s="284">
        <v>3611</v>
      </c>
      <c r="C60" s="389" t="s">
        <v>281</v>
      </c>
      <c r="D60" s="389"/>
      <c r="E60" s="389"/>
      <c r="F60" s="389"/>
      <c r="G60" s="389"/>
      <c r="H60" s="389"/>
      <c r="I60" s="142">
        <v>42</v>
      </c>
      <c r="J60" s="80"/>
      <c r="K60" s="80"/>
      <c r="L60" s="79" t="str">
        <f t="shared" si="0"/>
        <v>-</v>
      </c>
    </row>
    <row r="61" spans="2:12" ht="12.75">
      <c r="B61" s="284">
        <v>3612</v>
      </c>
      <c r="C61" s="389" t="s">
        <v>282</v>
      </c>
      <c r="D61" s="389"/>
      <c r="E61" s="389"/>
      <c r="F61" s="389"/>
      <c r="G61" s="389"/>
      <c r="H61" s="389"/>
      <c r="I61" s="142">
        <v>43</v>
      </c>
      <c r="J61" s="80"/>
      <c r="K61" s="80"/>
      <c r="L61" s="79" t="str">
        <f t="shared" si="0"/>
        <v>-</v>
      </c>
    </row>
    <row r="62" spans="2:12" ht="12.75">
      <c r="B62" s="284">
        <v>362</v>
      </c>
      <c r="C62" s="389" t="s">
        <v>3018</v>
      </c>
      <c r="D62" s="389"/>
      <c r="E62" s="389"/>
      <c r="F62" s="389"/>
      <c r="G62" s="389"/>
      <c r="H62" s="389"/>
      <c r="I62" s="142">
        <v>44</v>
      </c>
      <c r="J62" s="80"/>
      <c r="K62" s="80"/>
      <c r="L62" s="79" t="str">
        <f t="shared" si="0"/>
        <v>-</v>
      </c>
    </row>
    <row r="63" spans="2:12" ht="12.75" customHeight="1">
      <c r="B63" s="284">
        <v>363</v>
      </c>
      <c r="C63" s="399" t="s">
        <v>2452</v>
      </c>
      <c r="D63" s="384"/>
      <c r="E63" s="384"/>
      <c r="F63" s="384"/>
      <c r="G63" s="384"/>
      <c r="H63" s="385"/>
      <c r="I63" s="142">
        <v>45</v>
      </c>
      <c r="J63" s="273">
        <f>SUM(J64:J66)</f>
        <v>0</v>
      </c>
      <c r="K63" s="273">
        <f>SUM(K64:K66)</f>
        <v>0</v>
      </c>
      <c r="L63" s="79" t="str">
        <f t="shared" si="0"/>
        <v>-</v>
      </c>
    </row>
    <row r="64" spans="2:12" ht="12.75">
      <c r="B64" s="284">
        <v>3631</v>
      </c>
      <c r="C64" s="389" t="s">
        <v>283</v>
      </c>
      <c r="D64" s="389"/>
      <c r="E64" s="389"/>
      <c r="F64" s="389"/>
      <c r="G64" s="389"/>
      <c r="H64" s="389"/>
      <c r="I64" s="142">
        <v>46</v>
      </c>
      <c r="J64" s="80"/>
      <c r="K64" s="80"/>
      <c r="L64" s="79" t="str">
        <f t="shared" si="0"/>
        <v>-</v>
      </c>
    </row>
    <row r="65" spans="2:12" ht="12.75">
      <c r="B65" s="284">
        <v>3632</v>
      </c>
      <c r="C65" s="389" t="s">
        <v>1732</v>
      </c>
      <c r="D65" s="389"/>
      <c r="E65" s="389"/>
      <c r="F65" s="389"/>
      <c r="G65" s="389"/>
      <c r="H65" s="389"/>
      <c r="I65" s="142">
        <v>47</v>
      </c>
      <c r="J65" s="80"/>
      <c r="K65" s="80"/>
      <c r="L65" s="79" t="str">
        <f t="shared" si="0"/>
        <v>-</v>
      </c>
    </row>
    <row r="66" spans="2:12" ht="12.75">
      <c r="B66" s="284">
        <v>3633</v>
      </c>
      <c r="C66" s="389" t="s">
        <v>1733</v>
      </c>
      <c r="D66" s="389"/>
      <c r="E66" s="389"/>
      <c r="F66" s="389"/>
      <c r="G66" s="389"/>
      <c r="H66" s="389"/>
      <c r="I66" s="142">
        <v>48</v>
      </c>
      <c r="J66" s="80"/>
      <c r="K66" s="80"/>
      <c r="L66" s="79" t="str">
        <f t="shared" si="0"/>
        <v>-</v>
      </c>
    </row>
    <row r="67" spans="2:12" ht="12.75" customHeight="1">
      <c r="B67" s="284">
        <v>37</v>
      </c>
      <c r="C67" s="404" t="s">
        <v>2453</v>
      </c>
      <c r="D67" s="405"/>
      <c r="E67" s="405"/>
      <c r="F67" s="405"/>
      <c r="G67" s="405"/>
      <c r="H67" s="406"/>
      <c r="I67" s="142">
        <v>49</v>
      </c>
      <c r="J67" s="273">
        <f>SUM(J68:J71)</f>
        <v>0</v>
      </c>
      <c r="K67" s="273">
        <f>SUM(K68:K71)</f>
        <v>0</v>
      </c>
      <c r="L67" s="79" t="str">
        <f t="shared" si="0"/>
        <v>-</v>
      </c>
    </row>
    <row r="68" spans="2:12" ht="12.75">
      <c r="B68" s="284">
        <v>3711</v>
      </c>
      <c r="C68" s="389" t="s">
        <v>659</v>
      </c>
      <c r="D68" s="389"/>
      <c r="E68" s="389"/>
      <c r="F68" s="389"/>
      <c r="G68" s="389"/>
      <c r="H68" s="389"/>
      <c r="I68" s="142">
        <v>50</v>
      </c>
      <c r="J68" s="80"/>
      <c r="K68" s="80"/>
      <c r="L68" s="79" t="str">
        <f t="shared" si="0"/>
        <v>-</v>
      </c>
    </row>
    <row r="69" spans="2:12" ht="12.75">
      <c r="B69" s="284">
        <v>3712</v>
      </c>
      <c r="C69" s="389" t="s">
        <v>660</v>
      </c>
      <c r="D69" s="389"/>
      <c r="E69" s="389"/>
      <c r="F69" s="389"/>
      <c r="G69" s="389"/>
      <c r="H69" s="389"/>
      <c r="I69" s="142">
        <v>51</v>
      </c>
      <c r="J69" s="80"/>
      <c r="K69" s="80"/>
      <c r="L69" s="79" t="str">
        <f t="shared" si="0"/>
        <v>-</v>
      </c>
    </row>
    <row r="70" spans="2:12" ht="12.75" customHeight="1">
      <c r="B70" s="284">
        <v>3713</v>
      </c>
      <c r="C70" s="404" t="s">
        <v>2447</v>
      </c>
      <c r="D70" s="405"/>
      <c r="E70" s="405"/>
      <c r="F70" s="405"/>
      <c r="G70" s="405"/>
      <c r="H70" s="406"/>
      <c r="I70" s="142">
        <v>52</v>
      </c>
      <c r="J70" s="80"/>
      <c r="K70" s="80"/>
      <c r="L70" s="79" t="str">
        <f>IF(J70&gt;0,IF(K70/J70&gt;=100,"&gt;&gt;100",K70/J70*100),"-")</f>
        <v>-</v>
      </c>
    </row>
    <row r="71" spans="2:12" ht="12.75" customHeight="1">
      <c r="B71" s="285">
        <v>3714</v>
      </c>
      <c r="C71" s="404" t="s">
        <v>2446</v>
      </c>
      <c r="D71" s="405"/>
      <c r="E71" s="405"/>
      <c r="F71" s="405"/>
      <c r="G71" s="405"/>
      <c r="H71" s="406"/>
      <c r="I71" s="142">
        <v>53</v>
      </c>
      <c r="J71" s="81"/>
      <c r="K71" s="81"/>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253576</v>
      </c>
      <c r="K73" s="272">
        <f>K74+K86+K127+K128+K139+K147+K158</f>
        <v>310917</v>
      </c>
      <c r="L73" s="78">
        <f aca="true" t="shared" si="1" ref="L73:L99">IF(J73&gt;0,IF(K73/J73&gt;=100,"&gt;&gt;100",K73/J73*100),"-")</f>
        <v>122.61294444269173</v>
      </c>
    </row>
    <row r="74" spans="2:12" ht="12.75" customHeight="1">
      <c r="B74" s="141" t="s">
        <v>339</v>
      </c>
      <c r="C74" s="384" t="s">
        <v>2455</v>
      </c>
      <c r="D74" s="384"/>
      <c r="E74" s="384"/>
      <c r="F74" s="384"/>
      <c r="G74" s="384"/>
      <c r="H74" s="385"/>
      <c r="I74" s="142">
        <v>55</v>
      </c>
      <c r="J74" s="273">
        <f>J75+J80+J81</f>
        <v>149069</v>
      </c>
      <c r="K74" s="273">
        <f>K75+K80+K81</f>
        <v>205130</v>
      </c>
      <c r="L74" s="79">
        <f t="shared" si="1"/>
        <v>137.60741669964915</v>
      </c>
    </row>
    <row r="75" spans="2:12" ht="12.75" customHeight="1">
      <c r="B75" s="141">
        <v>411</v>
      </c>
      <c r="C75" s="384" t="s">
        <v>2456</v>
      </c>
      <c r="D75" s="384"/>
      <c r="E75" s="384"/>
      <c r="F75" s="384"/>
      <c r="G75" s="384"/>
      <c r="H75" s="385"/>
      <c r="I75" s="142">
        <v>56</v>
      </c>
      <c r="J75" s="273">
        <f>SUM(J76:J79)</f>
        <v>120301</v>
      </c>
      <c r="K75" s="273">
        <f>SUM(K76:K79)</f>
        <v>153760</v>
      </c>
      <c r="L75" s="79">
        <f t="shared" si="1"/>
        <v>127.81273638623121</v>
      </c>
    </row>
    <row r="76" spans="2:12" ht="12.75">
      <c r="B76" s="141">
        <v>4111</v>
      </c>
      <c r="C76" s="378" t="s">
        <v>1734</v>
      </c>
      <c r="D76" s="378"/>
      <c r="E76" s="378"/>
      <c r="F76" s="378"/>
      <c r="G76" s="378"/>
      <c r="H76" s="378"/>
      <c r="I76" s="142">
        <v>57</v>
      </c>
      <c r="J76" s="80">
        <v>120301</v>
      </c>
      <c r="K76" s="80">
        <v>153760</v>
      </c>
      <c r="L76" s="79">
        <f t="shared" si="1"/>
        <v>127.81273638623121</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13000</v>
      </c>
      <c r="K80" s="80">
        <v>26000</v>
      </c>
      <c r="L80" s="79">
        <f t="shared" si="1"/>
        <v>200</v>
      </c>
    </row>
    <row r="81" spans="2:12" ht="12.75" customHeight="1">
      <c r="B81" s="141">
        <v>413</v>
      </c>
      <c r="C81" s="384" t="s">
        <v>2457</v>
      </c>
      <c r="D81" s="384"/>
      <c r="E81" s="384"/>
      <c r="F81" s="384"/>
      <c r="G81" s="384"/>
      <c r="H81" s="385"/>
      <c r="I81" s="142">
        <v>62</v>
      </c>
      <c r="J81" s="273">
        <f>SUM(J82:J85)</f>
        <v>15768</v>
      </c>
      <c r="K81" s="273">
        <f>SUM(K82:K85)</f>
        <v>25370</v>
      </c>
      <c r="L81" s="79">
        <f t="shared" si="1"/>
        <v>160.8954845256215</v>
      </c>
    </row>
    <row r="82" spans="2:12" ht="12.75">
      <c r="B82" s="141">
        <v>4131</v>
      </c>
      <c r="C82" s="378" t="s">
        <v>1738</v>
      </c>
      <c r="D82" s="378"/>
      <c r="E82" s="378"/>
      <c r="F82" s="378"/>
      <c r="G82" s="378"/>
      <c r="H82" s="378"/>
      <c r="I82" s="142">
        <v>63</v>
      </c>
      <c r="J82" s="80">
        <v>15768</v>
      </c>
      <c r="K82" s="80">
        <v>25370</v>
      </c>
      <c r="L82" s="79">
        <f t="shared" si="1"/>
        <v>160.8954845256215</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384" t="s">
        <v>2458</v>
      </c>
      <c r="D86" s="384"/>
      <c r="E86" s="384"/>
      <c r="F86" s="384"/>
      <c r="G86" s="384"/>
      <c r="H86" s="385"/>
      <c r="I86" s="142">
        <v>67</v>
      </c>
      <c r="J86" s="273">
        <f>J87+J91+J96+J101+J106+J116+J121</f>
        <v>99336</v>
      </c>
      <c r="K86" s="273">
        <f>K87+K91+K96+K101+K106+K116+K121</f>
        <v>101989</v>
      </c>
      <c r="L86" s="79">
        <f t="shared" si="1"/>
        <v>102.67073367157928</v>
      </c>
    </row>
    <row r="87" spans="2:12" ht="12.75" customHeight="1">
      <c r="B87" s="141">
        <v>421</v>
      </c>
      <c r="C87" s="384" t="s">
        <v>2459</v>
      </c>
      <c r="D87" s="384"/>
      <c r="E87" s="384"/>
      <c r="F87" s="384"/>
      <c r="G87" s="384"/>
      <c r="H87" s="385"/>
      <c r="I87" s="142">
        <v>68</v>
      </c>
      <c r="J87" s="273">
        <f>SUM(J88:J90)</f>
        <v>3532</v>
      </c>
      <c r="K87" s="273">
        <f>SUM(K88:K90)</f>
        <v>8950</v>
      </c>
      <c r="L87" s="79">
        <f t="shared" si="1"/>
        <v>253.39750849377123</v>
      </c>
    </row>
    <row r="88" spans="2:12" ht="12.75">
      <c r="B88" s="141">
        <v>4211</v>
      </c>
      <c r="C88" s="378" t="s">
        <v>340</v>
      </c>
      <c r="D88" s="378"/>
      <c r="E88" s="378"/>
      <c r="F88" s="378"/>
      <c r="G88" s="378"/>
      <c r="H88" s="378"/>
      <c r="I88" s="142">
        <v>69</v>
      </c>
      <c r="J88" s="80">
        <v>400</v>
      </c>
      <c r="K88" s="80">
        <v>5818</v>
      </c>
      <c r="L88" s="79">
        <f t="shared" si="1"/>
        <v>1454.5</v>
      </c>
    </row>
    <row r="89" spans="2:12" ht="12.75">
      <c r="B89" s="141">
        <v>4212</v>
      </c>
      <c r="C89" s="378" t="s">
        <v>2189</v>
      </c>
      <c r="D89" s="378"/>
      <c r="E89" s="378"/>
      <c r="F89" s="378"/>
      <c r="G89" s="378"/>
      <c r="H89" s="378"/>
      <c r="I89" s="142">
        <v>70</v>
      </c>
      <c r="J89" s="80">
        <v>3132</v>
      </c>
      <c r="K89" s="80">
        <v>3132</v>
      </c>
      <c r="L89" s="79">
        <f t="shared" si="1"/>
        <v>100</v>
      </c>
    </row>
    <row r="90" spans="2:12" ht="12.75">
      <c r="B90" s="141">
        <v>4213</v>
      </c>
      <c r="C90" s="378" t="s">
        <v>3020</v>
      </c>
      <c r="D90" s="378"/>
      <c r="E90" s="378"/>
      <c r="F90" s="378"/>
      <c r="G90" s="378"/>
      <c r="H90" s="378"/>
      <c r="I90" s="142">
        <v>71</v>
      </c>
      <c r="J90" s="80"/>
      <c r="K90" s="80"/>
      <c r="L90" s="79" t="str">
        <f t="shared" si="1"/>
        <v>-</v>
      </c>
    </row>
    <row r="91" spans="2:12" ht="12.75">
      <c r="B91" s="141">
        <v>422</v>
      </c>
      <c r="C91" s="454" t="s">
        <v>2460</v>
      </c>
      <c r="D91" s="455"/>
      <c r="E91" s="455"/>
      <c r="F91" s="455"/>
      <c r="G91" s="455"/>
      <c r="H91" s="456"/>
      <c r="I91" s="142">
        <v>72</v>
      </c>
      <c r="J91" s="273">
        <f>SUM(J92:J95)</f>
        <v>200</v>
      </c>
      <c r="K91" s="273">
        <f>SUM(K92:K95)</f>
        <v>0</v>
      </c>
      <c r="L91" s="79">
        <f t="shared" si="1"/>
        <v>0</v>
      </c>
    </row>
    <row r="92" spans="2:12" ht="12.75">
      <c r="B92" s="141">
        <v>4221</v>
      </c>
      <c r="C92" s="378" t="s">
        <v>3021</v>
      </c>
      <c r="D92" s="378"/>
      <c r="E92" s="378"/>
      <c r="F92" s="378"/>
      <c r="G92" s="378"/>
      <c r="H92" s="378"/>
      <c r="I92" s="142">
        <v>73</v>
      </c>
      <c r="J92" s="80"/>
      <c r="K92" s="80"/>
      <c r="L92" s="79" t="str">
        <f t="shared" si="1"/>
        <v>-</v>
      </c>
    </row>
    <row r="93" spans="2:12" ht="12.75">
      <c r="B93" s="141">
        <v>4222</v>
      </c>
      <c r="C93" s="378" t="s">
        <v>3022</v>
      </c>
      <c r="D93" s="378"/>
      <c r="E93" s="378"/>
      <c r="F93" s="378"/>
      <c r="G93" s="378"/>
      <c r="H93" s="378"/>
      <c r="I93" s="142">
        <v>74</v>
      </c>
      <c r="J93" s="80">
        <v>200</v>
      </c>
      <c r="K93" s="80"/>
      <c r="L93" s="79">
        <f t="shared" si="1"/>
        <v>0</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13149</v>
      </c>
      <c r="K101" s="273">
        <f>SUM(K102:K105)</f>
        <v>30240</v>
      </c>
      <c r="L101" s="79">
        <f t="shared" si="2"/>
        <v>229.9794661190965</v>
      </c>
    </row>
    <row r="102" spans="2:12" ht="12.75">
      <c r="B102" s="141">
        <v>4241</v>
      </c>
      <c r="C102" s="378" t="s">
        <v>3021</v>
      </c>
      <c r="D102" s="378"/>
      <c r="E102" s="378"/>
      <c r="F102" s="378"/>
      <c r="G102" s="378"/>
      <c r="H102" s="378"/>
      <c r="I102" s="142">
        <v>83</v>
      </c>
      <c r="J102" s="80">
        <v>12949</v>
      </c>
      <c r="K102" s="80">
        <v>29840</v>
      </c>
      <c r="L102" s="79">
        <f t="shared" si="2"/>
        <v>230.44250521275777</v>
      </c>
    </row>
    <row r="103" spans="2:12" ht="12.75">
      <c r="B103" s="141">
        <v>4242</v>
      </c>
      <c r="C103" s="378" t="s">
        <v>3022</v>
      </c>
      <c r="D103" s="378"/>
      <c r="E103" s="378"/>
      <c r="F103" s="378"/>
      <c r="G103" s="378"/>
      <c r="H103" s="378"/>
      <c r="I103" s="142">
        <v>84</v>
      </c>
      <c r="J103" s="80">
        <v>200</v>
      </c>
      <c r="K103" s="80">
        <v>400</v>
      </c>
      <c r="L103" s="79">
        <f t="shared" si="2"/>
        <v>200</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73611</v>
      </c>
      <c r="K106" s="273">
        <f>SUM(K107:K115)</f>
        <v>41005</v>
      </c>
      <c r="L106" s="79">
        <f t="shared" si="2"/>
        <v>55.704989743380736</v>
      </c>
    </row>
    <row r="107" spans="2:12" ht="12.75">
      <c r="B107" s="141">
        <v>4251</v>
      </c>
      <c r="C107" s="378" t="s">
        <v>1740</v>
      </c>
      <c r="D107" s="378"/>
      <c r="E107" s="378"/>
      <c r="F107" s="378"/>
      <c r="G107" s="378"/>
      <c r="H107" s="378"/>
      <c r="I107" s="142">
        <v>88</v>
      </c>
      <c r="J107" s="80">
        <v>8886</v>
      </c>
      <c r="K107" s="80">
        <v>8722</v>
      </c>
      <c r="L107" s="79">
        <f t="shared" si="2"/>
        <v>98.15440018005852</v>
      </c>
    </row>
    <row r="108" spans="2:12" ht="12.75">
      <c r="B108" s="141">
        <v>4252</v>
      </c>
      <c r="C108" s="378" t="s">
        <v>1741</v>
      </c>
      <c r="D108" s="378"/>
      <c r="E108" s="378"/>
      <c r="F108" s="378"/>
      <c r="G108" s="378"/>
      <c r="H108" s="378"/>
      <c r="I108" s="142">
        <v>89</v>
      </c>
      <c r="J108" s="80">
        <v>1288</v>
      </c>
      <c r="K108" s="80">
        <v>1675</v>
      </c>
      <c r="L108" s="79">
        <f t="shared" si="2"/>
        <v>130.04658385093168</v>
      </c>
    </row>
    <row r="109" spans="2:12" ht="12.75">
      <c r="B109" s="141">
        <v>4253</v>
      </c>
      <c r="C109" s="378" t="s">
        <v>1742</v>
      </c>
      <c r="D109" s="378"/>
      <c r="E109" s="378"/>
      <c r="F109" s="378"/>
      <c r="G109" s="378"/>
      <c r="H109" s="378"/>
      <c r="I109" s="142">
        <v>90</v>
      </c>
      <c r="J109" s="80"/>
      <c r="K109" s="80"/>
      <c r="L109" s="79" t="str">
        <f t="shared" si="2"/>
        <v>-</v>
      </c>
    </row>
    <row r="110" spans="2:12" ht="12.75">
      <c r="B110" s="141">
        <v>4254</v>
      </c>
      <c r="C110" s="378" t="s">
        <v>1743</v>
      </c>
      <c r="D110" s="378"/>
      <c r="E110" s="378"/>
      <c r="F110" s="378"/>
      <c r="G110" s="378"/>
      <c r="H110" s="378"/>
      <c r="I110" s="142">
        <v>91</v>
      </c>
      <c r="J110" s="80">
        <v>11594</v>
      </c>
      <c r="K110" s="80">
        <v>14958</v>
      </c>
      <c r="L110" s="79">
        <f t="shared" si="2"/>
        <v>129.01500776263583</v>
      </c>
    </row>
    <row r="111" spans="2:12" ht="12.75">
      <c r="B111" s="141">
        <v>4255</v>
      </c>
      <c r="C111" s="378" t="s">
        <v>1744</v>
      </c>
      <c r="D111" s="378"/>
      <c r="E111" s="378"/>
      <c r="F111" s="378"/>
      <c r="G111" s="378"/>
      <c r="H111" s="378"/>
      <c r="I111" s="142">
        <v>92</v>
      </c>
      <c r="J111" s="80">
        <v>10487</v>
      </c>
      <c r="K111" s="80">
        <v>5950</v>
      </c>
      <c r="L111" s="79">
        <f t="shared" si="2"/>
        <v>56.736912367693336</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v>11900</v>
      </c>
      <c r="K113" s="80">
        <v>7500</v>
      </c>
      <c r="L113" s="79">
        <f t="shared" si="2"/>
        <v>63.02521008403361</v>
      </c>
    </row>
    <row r="114" spans="2:12" ht="12.75">
      <c r="B114" s="141">
        <v>4258</v>
      </c>
      <c r="C114" s="378" t="s">
        <v>2868</v>
      </c>
      <c r="D114" s="378"/>
      <c r="E114" s="378"/>
      <c r="F114" s="378"/>
      <c r="G114" s="378"/>
      <c r="H114" s="378"/>
      <c r="I114" s="142">
        <v>95</v>
      </c>
      <c r="J114" s="80"/>
      <c r="K114" s="80"/>
      <c r="L114" s="79" t="str">
        <f t="shared" si="2"/>
        <v>-</v>
      </c>
    </row>
    <row r="115" spans="2:12" ht="12.75">
      <c r="B115" s="141">
        <v>4259</v>
      </c>
      <c r="C115" s="378" t="s">
        <v>2869</v>
      </c>
      <c r="D115" s="378"/>
      <c r="E115" s="378"/>
      <c r="F115" s="378"/>
      <c r="G115" s="378"/>
      <c r="H115" s="378"/>
      <c r="I115" s="142">
        <v>96</v>
      </c>
      <c r="J115" s="80">
        <v>29456</v>
      </c>
      <c r="K115" s="80">
        <v>2200</v>
      </c>
      <c r="L115" s="79">
        <f t="shared" si="2"/>
        <v>7.468766974470396</v>
      </c>
    </row>
    <row r="116" spans="2:12" ht="12.75" customHeight="1">
      <c r="B116" s="141">
        <v>426</v>
      </c>
      <c r="C116" s="378" t="s">
        <v>2464</v>
      </c>
      <c r="D116" s="378"/>
      <c r="E116" s="378"/>
      <c r="F116" s="378"/>
      <c r="G116" s="378"/>
      <c r="H116" s="378"/>
      <c r="I116" s="142">
        <v>97</v>
      </c>
      <c r="J116" s="273">
        <f>SUM(J117:J120)</f>
        <v>5067</v>
      </c>
      <c r="K116" s="273">
        <f>SUM(K117:K120)</f>
        <v>15315</v>
      </c>
      <c r="L116" s="79">
        <f t="shared" si="2"/>
        <v>302.24985198342216</v>
      </c>
    </row>
    <row r="117" spans="2:12" ht="12.75">
      <c r="B117" s="141">
        <v>4261</v>
      </c>
      <c r="C117" s="378" t="s">
        <v>2190</v>
      </c>
      <c r="D117" s="378"/>
      <c r="E117" s="378"/>
      <c r="F117" s="378"/>
      <c r="G117" s="378"/>
      <c r="H117" s="378"/>
      <c r="I117" s="142">
        <v>98</v>
      </c>
      <c r="J117" s="80">
        <v>2335</v>
      </c>
      <c r="K117" s="80">
        <v>1146</v>
      </c>
      <c r="L117" s="79">
        <f t="shared" si="2"/>
        <v>49.07922912205567</v>
      </c>
    </row>
    <row r="118" spans="2:12" ht="12.75">
      <c r="B118" s="141">
        <v>4262</v>
      </c>
      <c r="C118" s="378" t="s">
        <v>3064</v>
      </c>
      <c r="D118" s="378"/>
      <c r="E118" s="378"/>
      <c r="F118" s="378"/>
      <c r="G118" s="378"/>
      <c r="H118" s="378"/>
      <c r="I118" s="142">
        <v>99</v>
      </c>
      <c r="J118" s="80"/>
      <c r="K118" s="80"/>
      <c r="L118" s="79" t="str">
        <f t="shared" si="2"/>
        <v>-</v>
      </c>
    </row>
    <row r="119" spans="2:12" ht="12.75">
      <c r="B119" s="141">
        <v>4263</v>
      </c>
      <c r="C119" s="378" t="s">
        <v>3065</v>
      </c>
      <c r="D119" s="378"/>
      <c r="E119" s="378"/>
      <c r="F119" s="378"/>
      <c r="G119" s="378"/>
      <c r="H119" s="378"/>
      <c r="I119" s="142">
        <v>100</v>
      </c>
      <c r="J119" s="80">
        <v>2732</v>
      </c>
      <c r="K119" s="80">
        <v>10350</v>
      </c>
      <c r="L119" s="79">
        <f t="shared" si="2"/>
        <v>378.8433382137628</v>
      </c>
    </row>
    <row r="120" spans="2:12" ht="12.75">
      <c r="B120" s="141">
        <v>4264</v>
      </c>
      <c r="C120" s="378" t="s">
        <v>3027</v>
      </c>
      <c r="D120" s="378"/>
      <c r="E120" s="378"/>
      <c r="F120" s="378"/>
      <c r="G120" s="378"/>
      <c r="H120" s="378"/>
      <c r="I120" s="142">
        <v>101</v>
      </c>
      <c r="J120" s="80"/>
      <c r="K120" s="80">
        <v>3819</v>
      </c>
      <c r="L120" s="79" t="str">
        <f t="shared" si="2"/>
        <v>-</v>
      </c>
    </row>
    <row r="121" spans="2:12" ht="12.75" customHeight="1">
      <c r="B121" s="141">
        <v>429</v>
      </c>
      <c r="C121" s="378" t="s">
        <v>2465</v>
      </c>
      <c r="D121" s="378"/>
      <c r="E121" s="378"/>
      <c r="F121" s="378"/>
      <c r="G121" s="378"/>
      <c r="H121" s="378"/>
      <c r="I121" s="142">
        <v>102</v>
      </c>
      <c r="J121" s="273">
        <f>SUM(J122:J126)</f>
        <v>3777</v>
      </c>
      <c r="K121" s="273">
        <f>SUM(K122:K126)</f>
        <v>6479</v>
      </c>
      <c r="L121" s="79">
        <f t="shared" si="2"/>
        <v>171.53825787662166</v>
      </c>
    </row>
    <row r="122" spans="2:12" ht="12.75">
      <c r="B122" s="141">
        <v>4291</v>
      </c>
      <c r="C122" s="378" t="s">
        <v>3067</v>
      </c>
      <c r="D122" s="378"/>
      <c r="E122" s="378"/>
      <c r="F122" s="378"/>
      <c r="G122" s="378"/>
      <c r="H122" s="378"/>
      <c r="I122" s="142">
        <v>103</v>
      </c>
      <c r="J122" s="80"/>
      <c r="K122" s="80"/>
      <c r="L122" s="79" t="str">
        <f t="shared" si="2"/>
        <v>-</v>
      </c>
    </row>
    <row r="123" spans="2:12" ht="12.75">
      <c r="B123" s="141">
        <v>4292</v>
      </c>
      <c r="C123" s="378" t="s">
        <v>3068</v>
      </c>
      <c r="D123" s="378"/>
      <c r="E123" s="378"/>
      <c r="F123" s="378"/>
      <c r="G123" s="378"/>
      <c r="H123" s="378"/>
      <c r="I123" s="142">
        <v>104</v>
      </c>
      <c r="J123" s="80"/>
      <c r="K123" s="80"/>
      <c r="L123" s="79" t="str">
        <f>IF(J123&gt;0,IF(K123/J123&gt;=100,"&gt;&gt;100",K123/J123*100),"-")</f>
        <v>-</v>
      </c>
    </row>
    <row r="124" spans="2:12" ht="12.75">
      <c r="B124" s="141">
        <v>4293</v>
      </c>
      <c r="C124" s="378" t="s">
        <v>3069</v>
      </c>
      <c r="D124" s="378"/>
      <c r="E124" s="378"/>
      <c r="F124" s="378"/>
      <c r="G124" s="378"/>
      <c r="H124" s="378"/>
      <c r="I124" s="142">
        <v>105</v>
      </c>
      <c r="J124" s="80"/>
      <c r="K124" s="80">
        <v>5949</v>
      </c>
      <c r="L124" s="79" t="str">
        <f t="shared" si="2"/>
        <v>-</v>
      </c>
    </row>
    <row r="125" spans="2:12" ht="12.75">
      <c r="B125" s="141">
        <v>4294</v>
      </c>
      <c r="C125" s="378" t="s">
        <v>3028</v>
      </c>
      <c r="D125" s="378"/>
      <c r="E125" s="378"/>
      <c r="F125" s="378"/>
      <c r="G125" s="378"/>
      <c r="H125" s="378"/>
      <c r="I125" s="142">
        <v>106</v>
      </c>
      <c r="J125" s="80"/>
      <c r="K125" s="80">
        <v>395</v>
      </c>
      <c r="L125" s="79" t="str">
        <f t="shared" si="2"/>
        <v>-</v>
      </c>
    </row>
    <row r="126" spans="2:12" ht="12.75">
      <c r="B126" s="141">
        <v>4295</v>
      </c>
      <c r="C126" s="378" t="s">
        <v>3029</v>
      </c>
      <c r="D126" s="378"/>
      <c r="E126" s="378"/>
      <c r="F126" s="378"/>
      <c r="G126" s="378"/>
      <c r="H126" s="378"/>
      <c r="I126" s="142">
        <v>107</v>
      </c>
      <c r="J126" s="80">
        <v>3777</v>
      </c>
      <c r="K126" s="80">
        <v>135</v>
      </c>
      <c r="L126" s="79">
        <f t="shared" si="2"/>
        <v>3.5742652899126295</v>
      </c>
    </row>
    <row r="127" spans="2:12" ht="12.75">
      <c r="B127" s="141">
        <v>43</v>
      </c>
      <c r="C127" s="378" t="s">
        <v>3030</v>
      </c>
      <c r="D127" s="378"/>
      <c r="E127" s="378"/>
      <c r="F127" s="378"/>
      <c r="G127" s="378"/>
      <c r="H127" s="378"/>
      <c r="I127" s="142">
        <v>108</v>
      </c>
      <c r="J127" s="80">
        <v>2466</v>
      </c>
      <c r="K127" s="80">
        <v>1601</v>
      </c>
      <c r="L127" s="79">
        <f>IF(J127&gt;0,IF(K127/J127&gt;=100,"&gt;&gt;100",K127/J127*100),"-")</f>
        <v>64.92295214922952</v>
      </c>
    </row>
    <row r="128" spans="2:12" ht="12.75" customHeight="1">
      <c r="B128" s="141">
        <v>44</v>
      </c>
      <c r="C128" s="378" t="s">
        <v>2466</v>
      </c>
      <c r="D128" s="378"/>
      <c r="E128" s="378"/>
      <c r="F128" s="378"/>
      <c r="G128" s="378"/>
      <c r="H128" s="378"/>
      <c r="I128" s="142">
        <v>109</v>
      </c>
      <c r="J128" s="273">
        <f>J129+J130+J134</f>
        <v>2453</v>
      </c>
      <c r="K128" s="273">
        <f>K129+K130+K134</f>
        <v>2197</v>
      </c>
      <c r="L128" s="79">
        <f t="shared" si="2"/>
        <v>89.56379942927029</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2453</v>
      </c>
      <c r="K134" s="273">
        <f>SUM(K135:K138)</f>
        <v>2197</v>
      </c>
      <c r="L134" s="79">
        <f t="shared" si="2"/>
        <v>89.56379942927029</v>
      </c>
    </row>
    <row r="135" spans="2:12" ht="12.75">
      <c r="B135" s="141">
        <v>4431</v>
      </c>
      <c r="C135" s="378" t="s">
        <v>3070</v>
      </c>
      <c r="D135" s="378"/>
      <c r="E135" s="378"/>
      <c r="F135" s="378"/>
      <c r="G135" s="378"/>
      <c r="H135" s="378"/>
      <c r="I135" s="142">
        <v>116</v>
      </c>
      <c r="J135" s="80">
        <v>2026</v>
      </c>
      <c r="K135" s="80">
        <v>2068</v>
      </c>
      <c r="L135" s="79">
        <f t="shared" si="2"/>
        <v>102.07305034550839</v>
      </c>
    </row>
    <row r="136" spans="2:12" ht="12.75">
      <c r="B136" s="141">
        <v>4432</v>
      </c>
      <c r="C136" s="378" t="s">
        <v>2873</v>
      </c>
      <c r="D136" s="378"/>
      <c r="E136" s="378"/>
      <c r="F136" s="378"/>
      <c r="G136" s="378"/>
      <c r="H136" s="378"/>
      <c r="I136" s="142">
        <v>117</v>
      </c>
      <c r="J136" s="80">
        <v>427</v>
      </c>
      <c r="K136" s="80">
        <v>129</v>
      </c>
      <c r="L136" s="79">
        <f t="shared" si="2"/>
        <v>30.210772833723652</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ht="12.75">
      <c r="B141" s="141">
        <v>4511</v>
      </c>
      <c r="C141" s="378" t="s">
        <v>1660</v>
      </c>
      <c r="D141" s="378"/>
      <c r="E141" s="378"/>
      <c r="F141" s="378"/>
      <c r="G141" s="378"/>
      <c r="H141" s="378"/>
      <c r="I141" s="142">
        <v>122</v>
      </c>
      <c r="J141" s="80"/>
      <c r="K141" s="80"/>
      <c r="L141" s="79" t="str">
        <f t="shared" si="2"/>
        <v>-</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252</v>
      </c>
      <c r="K147" s="273">
        <f>K148+K153</f>
        <v>0</v>
      </c>
      <c r="L147" s="79">
        <f t="shared" si="2"/>
        <v>0</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252</v>
      </c>
      <c r="K153" s="273">
        <f>SUM(K154:K157)</f>
        <v>0</v>
      </c>
      <c r="L153" s="79">
        <f t="shared" si="2"/>
        <v>0</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v>252</v>
      </c>
      <c r="K157" s="80"/>
      <c r="L157" s="79">
        <f>IF(J157&gt;0,IF(K157/J157&gt;=100,"&gt;&gt;100",K157/J157*100),"-")</f>
        <v>0</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253576</v>
      </c>
      <c r="K167" s="273">
        <f>K73-K165+K166</f>
        <v>310917</v>
      </c>
      <c r="L167" s="79">
        <f t="shared" si="2"/>
        <v>122.61294444269173</v>
      </c>
    </row>
    <row r="168" spans="2:12" ht="12.75" customHeight="1">
      <c r="B168" s="141"/>
      <c r="C168" s="378" t="s">
        <v>1801</v>
      </c>
      <c r="D168" s="378"/>
      <c r="E168" s="378"/>
      <c r="F168" s="378"/>
      <c r="G168" s="378"/>
      <c r="H168" s="378"/>
      <c r="I168" s="142">
        <v>149</v>
      </c>
      <c r="J168" s="273">
        <f>IF(J19&gt;=J167,J19-J167,0)</f>
        <v>89537</v>
      </c>
      <c r="K168" s="273">
        <f>IF(K19&gt;=K167,K19-K167,0)</f>
        <v>0</v>
      </c>
      <c r="L168" s="79">
        <f t="shared" si="2"/>
        <v>0</v>
      </c>
    </row>
    <row r="169" spans="2:12" ht="12.75" customHeight="1">
      <c r="B169" s="141"/>
      <c r="C169" s="378" t="s">
        <v>1802</v>
      </c>
      <c r="D169" s="378"/>
      <c r="E169" s="378"/>
      <c r="F169" s="378"/>
      <c r="G169" s="378"/>
      <c r="H169" s="378"/>
      <c r="I169" s="142">
        <v>150</v>
      </c>
      <c r="J169" s="273">
        <f>IF(J167&gt;=J19,J167-J19,0)</f>
        <v>0</v>
      </c>
      <c r="K169" s="273">
        <f>IF(K167&gt;=K19,K167-K19,0)</f>
        <v>63058</v>
      </c>
      <c r="L169" s="79" t="str">
        <f t="shared" si="2"/>
        <v>-</v>
      </c>
    </row>
    <row r="170" spans="2:12" ht="12.75">
      <c r="B170" s="141">
        <v>5221</v>
      </c>
      <c r="C170" s="378" t="s">
        <v>1667</v>
      </c>
      <c r="D170" s="378"/>
      <c r="E170" s="378"/>
      <c r="F170" s="378"/>
      <c r="G170" s="378"/>
      <c r="H170" s="378"/>
      <c r="I170" s="142">
        <v>151</v>
      </c>
      <c r="J170" s="80">
        <v>70722</v>
      </c>
      <c r="K170" s="80">
        <v>160259</v>
      </c>
      <c r="L170" s="79">
        <f t="shared" si="2"/>
        <v>226.6041684341506</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160259</v>
      </c>
      <c r="K173" s="273">
        <f>IF(K168+K170-K169-K171-K172&gt;=0,K168+K170-K169-K171-K172,0)</f>
        <v>97201</v>
      </c>
      <c r="L173" s="79">
        <f t="shared" si="2"/>
        <v>60.652443856507276</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86139</v>
      </c>
      <c r="K176" s="83">
        <v>170796</v>
      </c>
      <c r="L176" s="78">
        <f aca="true" t="shared" si="3" ref="L176:L181">IF(J176&gt;0,IF(K176/J176&gt;=100,"&gt;&gt;100",K176/J176*100),"-")</f>
        <v>198.27952495385367</v>
      </c>
    </row>
    <row r="177" spans="2:12" ht="12.75">
      <c r="B177" s="145" t="s">
        <v>1669</v>
      </c>
      <c r="C177" s="378" t="s">
        <v>1338</v>
      </c>
      <c r="D177" s="378"/>
      <c r="E177" s="378"/>
      <c r="F177" s="378"/>
      <c r="G177" s="378"/>
      <c r="H177" s="378"/>
      <c r="I177" s="142">
        <v>157</v>
      </c>
      <c r="J177" s="80">
        <v>469270</v>
      </c>
      <c r="K177" s="80">
        <v>267019</v>
      </c>
      <c r="L177" s="79">
        <f t="shared" si="3"/>
        <v>56.90093123361817</v>
      </c>
    </row>
    <row r="178" spans="2:12" ht="12.75">
      <c r="B178" s="145" t="s">
        <v>2201</v>
      </c>
      <c r="C178" s="378" t="s">
        <v>2202</v>
      </c>
      <c r="D178" s="378"/>
      <c r="E178" s="378"/>
      <c r="F178" s="378"/>
      <c r="G178" s="378"/>
      <c r="H178" s="378"/>
      <c r="I178" s="142">
        <v>158</v>
      </c>
      <c r="J178" s="80">
        <v>384613</v>
      </c>
      <c r="K178" s="80">
        <v>318855</v>
      </c>
      <c r="L178" s="79">
        <f t="shared" si="3"/>
        <v>82.90281399744678</v>
      </c>
    </row>
    <row r="179" spans="2:12" ht="12.75" customHeight="1">
      <c r="B179" s="141">
        <v>11</v>
      </c>
      <c r="C179" s="384" t="s">
        <v>1805</v>
      </c>
      <c r="D179" s="384"/>
      <c r="E179" s="384"/>
      <c r="F179" s="384"/>
      <c r="G179" s="384"/>
      <c r="H179" s="385"/>
      <c r="I179" s="142">
        <v>159</v>
      </c>
      <c r="J179" s="273">
        <f>J176+J177-J178</f>
        <v>170796</v>
      </c>
      <c r="K179" s="273">
        <f>K176+K177-K178</f>
        <v>118960</v>
      </c>
      <c r="L179" s="79">
        <f t="shared" si="3"/>
        <v>69.65034309937</v>
      </c>
    </row>
    <row r="180" spans="2:12" ht="12.75">
      <c r="B180" s="141"/>
      <c r="C180" s="378" t="s">
        <v>523</v>
      </c>
      <c r="D180" s="378"/>
      <c r="E180" s="378"/>
      <c r="F180" s="378"/>
      <c r="G180" s="378"/>
      <c r="H180" s="378"/>
      <c r="I180" s="142">
        <v>160</v>
      </c>
      <c r="J180" s="80">
        <v>2</v>
      </c>
      <c r="K180" s="80">
        <v>2</v>
      </c>
      <c r="L180" s="79">
        <f t="shared" si="3"/>
        <v>100</v>
      </c>
    </row>
    <row r="181" spans="2:12" ht="12.75">
      <c r="B181" s="141"/>
      <c r="C181" s="378" t="s">
        <v>524</v>
      </c>
      <c r="D181" s="378"/>
      <c r="E181" s="378"/>
      <c r="F181" s="378"/>
      <c r="G181" s="378"/>
      <c r="H181" s="378"/>
      <c r="I181" s="142">
        <v>161</v>
      </c>
      <c r="J181" s="80">
        <v>2</v>
      </c>
      <c r="K181" s="80">
        <v>2</v>
      </c>
      <c r="L181" s="79">
        <f t="shared" si="3"/>
        <v>100</v>
      </c>
    </row>
    <row r="182" spans="2:12" ht="12.75">
      <c r="B182" s="141"/>
      <c r="C182" s="378" t="s">
        <v>1222</v>
      </c>
      <c r="D182" s="378"/>
      <c r="E182" s="378"/>
      <c r="F182" s="378"/>
      <c r="G182" s="378"/>
      <c r="H182" s="378"/>
      <c r="I182" s="142">
        <v>162</v>
      </c>
      <c r="J182" s="80"/>
      <c r="K182" s="80"/>
      <c r="L182" s="79" t="str">
        <f>IF(J182&gt;0,IF(K182/J182&gt;=100,"&gt;&gt;100",K182/J182*100),"-")</f>
        <v>-</v>
      </c>
    </row>
    <row r="183" spans="2:12" ht="12.75">
      <c r="B183" s="143"/>
      <c r="C183" s="383" t="s">
        <v>1223</v>
      </c>
      <c r="D183" s="383"/>
      <c r="E183" s="383"/>
      <c r="F183" s="383"/>
      <c r="G183" s="383"/>
      <c r="H183" s="383"/>
      <c r="I183" s="144">
        <v>163</v>
      </c>
      <c r="J183" s="81"/>
      <c r="K183" s="81"/>
      <c r="L183" s="82" t="str">
        <f>IF(J183&gt;0,IF(K183/J183&gt;=100,"&gt;&gt;100",K183/J183*100),"-")</f>
        <v>-</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383" t="s">
        <v>534</v>
      </c>
      <c r="D191" s="383"/>
      <c r="E191" s="383"/>
      <c r="F191" s="383"/>
      <c r="G191" s="383"/>
      <c r="H191" s="383"/>
      <c r="I191" s="144">
        <v>169</v>
      </c>
      <c r="J191" s="81"/>
      <c r="K191" s="81"/>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c r="K193" s="83"/>
      <c r="L193" s="78" t="str">
        <f t="shared" si="4"/>
        <v>-</v>
      </c>
    </row>
    <row r="194" spans="2:12" ht="12.75" customHeight="1">
      <c r="B194" s="143"/>
      <c r="C194" s="448" t="s">
        <v>2200</v>
      </c>
      <c r="D194" s="449"/>
      <c r="E194" s="449"/>
      <c r="F194" s="449"/>
      <c r="G194" s="449"/>
      <c r="H194" s="450"/>
      <c r="I194" s="144">
        <v>171</v>
      </c>
      <c r="J194" s="274">
        <f>SUM(J180:J183,J186:J191,J193)</f>
        <v>4</v>
      </c>
      <c r="K194" s="274">
        <f>SUM(K180:K183,K186:K191,K193)</f>
        <v>4</v>
      </c>
      <c r="L194" s="82">
        <f t="shared" si="4"/>
        <v>100</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Tvrtko Jakovina</v>
      </c>
      <c r="E198" s="447"/>
      <c r="F198" s="447"/>
      <c r="G198" s="447"/>
      <c r="H198" s="447"/>
      <c r="I198" s="173"/>
      <c r="J198" s="415"/>
      <c r="K198" s="415"/>
      <c r="L198" s="415"/>
    </row>
    <row r="199" spans="2:12" s="118" customFormat="1" ht="15" thickBot="1">
      <c r="B199" s="386" t="s">
        <v>1239</v>
      </c>
      <c r="C199" s="386"/>
      <c r="D199" s="223" t="str">
        <f>IF(RefStr!N4=1,IF(RefStr!D41&lt;&gt;"",RefStr!D41,""),"")</f>
        <v>02.02.2022.</v>
      </c>
      <c r="E199" s="176"/>
      <c r="F199" s="176"/>
      <c r="G199" s="176"/>
      <c r="H199" s="177"/>
      <c r="I199" s="178"/>
      <c r="J199" s="178"/>
      <c r="K199" s="179"/>
      <c r="L199" s="178"/>
    </row>
    <row r="200" spans="2:12" s="118" customFormat="1" ht="15" thickBot="1">
      <c r="B200" s="398" t="s">
        <v>1979</v>
      </c>
      <c r="C200" s="398"/>
      <c r="D200" s="172" t="str">
        <f>IF(RefStr!N4=1,IF(RefStr!D43&lt;&gt;"",RefStr!D43,""),"")</f>
        <v>Vlatka Zgurić Dobrenić</v>
      </c>
      <c r="E200" s="172"/>
      <c r="F200" s="172"/>
      <c r="G200" s="172"/>
      <c r="H200" s="171"/>
      <c r="I200" s="171"/>
      <c r="J200" s="171"/>
      <c r="K200" s="171"/>
      <c r="L200" s="171"/>
    </row>
    <row r="201" spans="2:12" s="118" customFormat="1" ht="15" thickBot="1">
      <c r="B201" s="386" t="s">
        <v>1980</v>
      </c>
      <c r="C201" s="386"/>
      <c r="D201" s="445" t="str">
        <f>IF(RefStr!N4=1,IF(RefStr!D45&lt;&gt;"",RefStr!D45,""),"")</f>
        <v>016127167</v>
      </c>
      <c r="E201" s="445"/>
      <c r="F201" s="171"/>
      <c r="G201" s="180"/>
      <c r="H201" s="180"/>
      <c r="I201" s="180"/>
      <c r="J201" s="180"/>
      <c r="K201" s="180"/>
      <c r="L201" s="180"/>
    </row>
    <row r="202" spans="2:12" s="118" customFormat="1" ht="15" thickBot="1">
      <c r="B202" s="386" t="s">
        <v>361</v>
      </c>
      <c r="C202" s="386"/>
      <c r="D202" s="446" t="str">
        <f>IF(RefStr!N4=1,IF(RefStr!D47&lt;&gt;"",RefStr!D47,""),"")</f>
        <v>016127923</v>
      </c>
      <c r="E202" s="446"/>
      <c r="F202" s="181"/>
      <c r="G202" s="181"/>
      <c r="H202" s="181"/>
      <c r="I202" s="181"/>
      <c r="J202" s="181"/>
      <c r="K202" s="180"/>
      <c r="L202" s="180"/>
    </row>
    <row r="203" spans="2:12" s="118" customFormat="1" ht="15" thickBot="1">
      <c r="B203" s="386" t="s">
        <v>1981</v>
      </c>
      <c r="C203" s="386"/>
      <c r="D203" s="431" t="str">
        <f>IF(RefStr!N4=1,IF(RefStr!D49&lt;&gt;"",RefStr!D49,""),"")</f>
        <v>vlatka.zguric@fina.hr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Centar za demokraciju i pravo Miko Tripalo</v>
      </c>
      <c r="E7" s="444"/>
      <c r="F7" s="444"/>
      <c r="G7" s="444"/>
      <c r="H7" s="444"/>
      <c r="I7" s="444"/>
      <c r="J7" s="444"/>
      <c r="K7" s="444"/>
      <c r="L7" s="444"/>
      <c r="P7" s="27" t="s">
        <v>1941</v>
      </c>
    </row>
    <row r="8" spans="2:12" ht="18" customHeight="1" thickBot="1">
      <c r="B8" s="416" t="s">
        <v>2361</v>
      </c>
      <c r="C8" s="416"/>
      <c r="D8" s="231">
        <f>IF(RefStr!O4=1,IF(RefStr!C9&lt;&gt;"",RefStr!C9,""),"")</f>
        <v>10000</v>
      </c>
      <c r="E8" s="121"/>
      <c r="F8" s="128" t="s">
        <v>2364</v>
      </c>
      <c r="G8" s="423" t="str">
        <f>IF(RefStr!O4=1,IF(RefStr!E9&lt;&gt;"",RefStr!E9,""),"")</f>
        <v>Zagreb</v>
      </c>
      <c r="H8" s="424"/>
      <c r="I8" s="424"/>
      <c r="J8" s="424"/>
      <c r="K8" s="424"/>
      <c r="L8" s="424"/>
    </row>
    <row r="9" spans="2:12" ht="18" customHeight="1" thickBot="1">
      <c r="B9" s="416" t="s">
        <v>332</v>
      </c>
      <c r="C9" s="416"/>
      <c r="D9" s="423" t="str">
        <f>IF(RefStr!O4=1,IF(RefStr!C11&lt;&gt;"",RefStr!C11,""),"")</f>
        <v>Ilica 5/II</v>
      </c>
      <c r="E9" s="423"/>
      <c r="F9" s="423"/>
      <c r="G9" s="423"/>
      <c r="H9" s="423"/>
      <c r="I9" s="423"/>
      <c r="J9" s="423"/>
      <c r="K9" s="423"/>
      <c r="L9" s="423"/>
    </row>
    <row r="10" spans="2:12" ht="18" customHeight="1" thickBot="1">
      <c r="B10" s="416" t="s">
        <v>3061</v>
      </c>
      <c r="C10" s="416" t="s">
        <v>1225</v>
      </c>
      <c r="D10" s="428" t="str">
        <f>IF(RefStr!O4=1,IF(RefStr!C13&lt;&gt;"",RefStr!C13,""),"")</f>
        <v>HR9123600001101680791</v>
      </c>
      <c r="E10" s="429"/>
      <c r="F10" s="429"/>
      <c r="G10" s="122"/>
      <c r="H10" s="122"/>
      <c r="I10" s="136"/>
      <c r="J10" s="128" t="s">
        <v>1109</v>
      </c>
      <c r="K10" s="227">
        <f>IF(RefStr!O4=1,IF(RefStr!J9&lt;&gt;"",RefStr!J9,""),"")</f>
        <v>65102</v>
      </c>
      <c r="L10" s="136"/>
    </row>
    <row r="11" spans="2:12" ht="18" customHeight="1" thickBot="1">
      <c r="B11" s="396" t="s">
        <v>334</v>
      </c>
      <c r="C11" s="397"/>
      <c r="D11" s="120" t="str">
        <f>IF(RefStr!O4=1,IF(RefStr!C15&lt;&gt;"",RefStr!C15,""),"")</f>
        <v>9499</v>
      </c>
      <c r="E11" s="232" t="str">
        <f>IF(RefStr!D15&lt;&gt;"",RefStr!D15,"")</f>
        <v>Djelatnosti ostalih članskih organizacija, d. n.</v>
      </c>
      <c r="F11" s="123"/>
      <c r="G11" s="136"/>
      <c r="H11" s="136"/>
      <c r="I11" s="137"/>
      <c r="J11" s="208" t="s">
        <v>1860</v>
      </c>
      <c r="K11" s="226" t="str">
        <f>IF(RefStr!O4=1,IF(RefStr!J11&lt;&gt;"",RefStr!J11,""),"")</f>
        <v>01752235</v>
      </c>
      <c r="L11" s="136"/>
    </row>
    <row r="12" spans="2:12" ht="18" customHeight="1" thickBot="1">
      <c r="B12" s="416" t="s">
        <v>1227</v>
      </c>
      <c r="C12" s="397"/>
      <c r="D12" s="124">
        <f>IF(RefStr!O4=1,IF(RefStr!C17&lt;&gt;"",RefStr!C17,""),"")</f>
        <v>133</v>
      </c>
      <c r="E12" s="233" t="str">
        <f>IF(RefStr!D17&lt;&gt;"",RefStr!D17,"")</f>
        <v>Grad/općina: GRAD ZAGREB</v>
      </c>
      <c r="F12" s="125"/>
      <c r="G12" s="122"/>
      <c r="H12" s="122"/>
      <c r="I12" s="126"/>
      <c r="J12" s="208" t="s">
        <v>1110</v>
      </c>
      <c r="K12" s="417">
        <f>IF(RefStr!O4=1,IF(RefStr!J13&lt;&gt;"",RefStr!J13,""),"")</f>
        <v>39816322504</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21</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177579</v>
      </c>
      <c r="K19" s="148">
        <f>K20+K92</f>
        <v>122686</v>
      </c>
      <c r="L19" s="134">
        <f aca="true" t="shared" si="0" ref="L19:L50">IF(J19&gt;0,IF(K19/J19&gt;=100,"&gt;&gt;100",K19/J19*100),"-")</f>
        <v>69.08812415882508</v>
      </c>
    </row>
    <row r="20" spans="2:12" ht="14.25">
      <c r="B20" s="149">
        <v>0</v>
      </c>
      <c r="C20" s="459" t="s">
        <v>2286</v>
      </c>
      <c r="D20" s="460"/>
      <c r="E20" s="460"/>
      <c r="F20" s="460"/>
      <c r="G20" s="460"/>
      <c r="H20" s="460"/>
      <c r="I20" s="150">
        <v>2</v>
      </c>
      <c r="J20" s="151">
        <f>J21+J36+J65+J69+J73+J82</f>
        <v>5327</v>
      </c>
      <c r="K20" s="151">
        <f>K21+K36+K65+K69+K73+K82</f>
        <v>3726</v>
      </c>
      <c r="L20" s="152">
        <f t="shared" si="0"/>
        <v>69.94556035291909</v>
      </c>
    </row>
    <row r="21" spans="2:12" ht="14.25">
      <c r="B21" s="149" t="s">
        <v>2287</v>
      </c>
      <c r="C21" s="459" t="s">
        <v>1251</v>
      </c>
      <c r="D21" s="460"/>
      <c r="E21" s="460"/>
      <c r="F21" s="460"/>
      <c r="G21" s="460"/>
      <c r="H21" s="460"/>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59" t="s">
        <v>1270</v>
      </c>
      <c r="D36" s="460"/>
      <c r="E36" s="460"/>
      <c r="F36" s="460"/>
      <c r="G36" s="460"/>
      <c r="H36" s="460"/>
      <c r="I36" s="150">
        <v>18</v>
      </c>
      <c r="J36" s="151">
        <f>J37+J41+J49+J52+J57+J60-J64</f>
        <v>5327</v>
      </c>
      <c r="K36" s="151">
        <f>K37+K41+K49+K52+K57+K60-K64</f>
        <v>3726</v>
      </c>
      <c r="L36" s="152">
        <f t="shared" si="0"/>
        <v>69.94556035291909</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81712</v>
      </c>
      <c r="K41" s="151">
        <f>SUM(K42:K48)</f>
        <v>81712</v>
      </c>
      <c r="L41" s="152">
        <f t="shared" si="0"/>
        <v>100</v>
      </c>
    </row>
    <row r="42" spans="2:12" ht="14.25">
      <c r="B42" s="153" t="s">
        <v>1281</v>
      </c>
      <c r="C42" s="457" t="s">
        <v>1282</v>
      </c>
      <c r="D42" s="458"/>
      <c r="E42" s="458"/>
      <c r="F42" s="458"/>
      <c r="G42" s="458"/>
      <c r="H42" s="458"/>
      <c r="I42" s="150">
        <v>24</v>
      </c>
      <c r="J42" s="154">
        <v>79753</v>
      </c>
      <c r="K42" s="155">
        <v>79753</v>
      </c>
      <c r="L42" s="152">
        <f t="shared" si="0"/>
        <v>100</v>
      </c>
    </row>
    <row r="43" spans="2:12" ht="14.25">
      <c r="B43" s="153" t="s">
        <v>1283</v>
      </c>
      <c r="C43" s="457" t="s">
        <v>1284</v>
      </c>
      <c r="D43" s="458"/>
      <c r="E43" s="458"/>
      <c r="F43" s="458"/>
      <c r="G43" s="458"/>
      <c r="H43" s="458"/>
      <c r="I43" s="150">
        <v>25</v>
      </c>
      <c r="J43" s="154">
        <v>1959</v>
      </c>
      <c r="K43" s="155">
        <v>1959</v>
      </c>
      <c r="L43" s="152">
        <f t="shared" si="0"/>
        <v>100</v>
      </c>
    </row>
    <row r="44" spans="2:12" ht="14.25">
      <c r="B44" s="153" t="s">
        <v>1285</v>
      </c>
      <c r="C44" s="457" t="s">
        <v>1286</v>
      </c>
      <c r="D44" s="458"/>
      <c r="E44" s="458"/>
      <c r="F44" s="458"/>
      <c r="G44" s="458"/>
      <c r="H44" s="458"/>
      <c r="I44" s="150">
        <v>26</v>
      </c>
      <c r="J44" s="154"/>
      <c r="K44" s="155"/>
      <c r="L44" s="152" t="str">
        <f t="shared" si="0"/>
        <v>-</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c r="K46" s="155"/>
      <c r="L46" s="152" t="str">
        <f t="shared" si="0"/>
        <v>-</v>
      </c>
    </row>
    <row r="47" spans="2:12" ht="14.25">
      <c r="B47" s="153" t="s">
        <v>1291</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c r="K50" s="155"/>
      <c r="L50" s="152" t="str">
        <f t="shared" si="0"/>
        <v>-</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0</v>
      </c>
      <c r="K60" s="151">
        <f>SUM(K61:K63)</f>
        <v>0</v>
      </c>
      <c r="L60" s="152" t="str">
        <f t="shared" si="1"/>
        <v>-</v>
      </c>
    </row>
    <row r="61" spans="2:12" ht="14.25">
      <c r="B61" s="153" t="s">
        <v>392</v>
      </c>
      <c r="C61" s="457" t="s">
        <v>393</v>
      </c>
      <c r="D61" s="458"/>
      <c r="E61" s="458"/>
      <c r="F61" s="458"/>
      <c r="G61" s="458"/>
      <c r="H61" s="458"/>
      <c r="I61" s="150">
        <v>43</v>
      </c>
      <c r="J61" s="154"/>
      <c r="K61" s="155"/>
      <c r="L61" s="152" t="str">
        <f t="shared" si="1"/>
        <v>-</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76385</v>
      </c>
      <c r="K64" s="155">
        <v>77986</v>
      </c>
      <c r="L64" s="152">
        <f t="shared" si="1"/>
        <v>102.09596124893632</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v>8308</v>
      </c>
      <c r="K71" s="155">
        <v>12127</v>
      </c>
      <c r="L71" s="152">
        <f t="shared" si="1"/>
        <v>145.96774193548387</v>
      </c>
    </row>
    <row r="72" spans="2:12" ht="14.25">
      <c r="B72" s="153" t="s">
        <v>412</v>
      </c>
      <c r="C72" s="457" t="s">
        <v>413</v>
      </c>
      <c r="D72" s="458"/>
      <c r="E72" s="458"/>
      <c r="F72" s="458"/>
      <c r="G72" s="458"/>
      <c r="H72" s="458"/>
      <c r="I72" s="150">
        <v>54</v>
      </c>
      <c r="J72" s="154">
        <v>8308</v>
      </c>
      <c r="K72" s="155">
        <v>12127</v>
      </c>
      <c r="L72" s="152">
        <f t="shared" si="1"/>
        <v>145.96774193548387</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59" t="s">
        <v>1703</v>
      </c>
      <c r="D92" s="460"/>
      <c r="E92" s="460"/>
      <c r="F92" s="460"/>
      <c r="G92" s="460"/>
      <c r="H92" s="460"/>
      <c r="I92" s="150">
        <v>74</v>
      </c>
      <c r="J92" s="151">
        <f>J93+J101+J118+J123+J143+J151+J160</f>
        <v>172252</v>
      </c>
      <c r="K92" s="151">
        <f>K93+K101+K118+K123+K143+K151+K160</f>
        <v>118960</v>
      </c>
      <c r="L92" s="152">
        <f t="shared" si="2"/>
        <v>69.06160741239579</v>
      </c>
    </row>
    <row r="93" spans="2:12" ht="14.25">
      <c r="B93" s="153">
        <v>11</v>
      </c>
      <c r="C93" s="457" t="s">
        <v>1704</v>
      </c>
      <c r="D93" s="458"/>
      <c r="E93" s="458"/>
      <c r="F93" s="458"/>
      <c r="G93" s="458"/>
      <c r="H93" s="458"/>
      <c r="I93" s="150">
        <v>75</v>
      </c>
      <c r="J93" s="151">
        <f>J94+J98+J99+J100</f>
        <v>170796</v>
      </c>
      <c r="K93" s="151">
        <f>K94+K98+K99+K100</f>
        <v>118960</v>
      </c>
      <c r="L93" s="152">
        <f t="shared" si="2"/>
        <v>69.65034309937</v>
      </c>
    </row>
    <row r="94" spans="2:12" ht="14.25">
      <c r="B94" s="153">
        <v>111</v>
      </c>
      <c r="C94" s="457" t="s">
        <v>1705</v>
      </c>
      <c r="D94" s="458"/>
      <c r="E94" s="458"/>
      <c r="F94" s="458"/>
      <c r="G94" s="458"/>
      <c r="H94" s="458"/>
      <c r="I94" s="150">
        <v>76</v>
      </c>
      <c r="J94" s="151">
        <f>SUM(J95:J97)</f>
        <v>170796</v>
      </c>
      <c r="K94" s="151">
        <f>SUM(K95:K97)</f>
        <v>118960</v>
      </c>
      <c r="L94" s="152">
        <f t="shared" si="2"/>
        <v>69.65034309937</v>
      </c>
    </row>
    <row r="95" spans="2:12" ht="14.25">
      <c r="B95" s="153">
        <v>1111</v>
      </c>
      <c r="C95" s="457" t="s">
        <v>1706</v>
      </c>
      <c r="D95" s="458"/>
      <c r="E95" s="458"/>
      <c r="F95" s="458"/>
      <c r="G95" s="458"/>
      <c r="H95" s="458"/>
      <c r="I95" s="150">
        <v>77</v>
      </c>
      <c r="J95" s="154">
        <v>170796</v>
      </c>
      <c r="K95" s="155">
        <v>118960</v>
      </c>
      <c r="L95" s="152">
        <f t="shared" si="2"/>
        <v>69.65034309937</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c r="K99" s="155"/>
      <c r="L99" s="152" t="str">
        <f t="shared" si="2"/>
        <v>-</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65"/>
      <c r="E101" s="465"/>
      <c r="F101" s="465"/>
      <c r="G101" s="465"/>
      <c r="H101" s="465"/>
      <c r="I101" s="150">
        <v>83</v>
      </c>
      <c r="J101" s="151">
        <f>J102+J105+J106+J107+J113</f>
        <v>1456</v>
      </c>
      <c r="K101" s="151">
        <f>K102+K105+K106+K107+K113</f>
        <v>0</v>
      </c>
      <c r="L101" s="152">
        <f t="shared" si="2"/>
        <v>0</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1456</v>
      </c>
      <c r="K107" s="151">
        <f>SUM(K108:K112)</f>
        <v>0</v>
      </c>
      <c r="L107" s="152">
        <f t="shared" si="2"/>
        <v>0</v>
      </c>
    </row>
    <row r="108" spans="2:12" ht="14.25">
      <c r="B108" s="153">
        <v>1241</v>
      </c>
      <c r="C108" s="457" t="s">
        <v>1088</v>
      </c>
      <c r="D108" s="458"/>
      <c r="E108" s="458"/>
      <c r="F108" s="458"/>
      <c r="G108" s="458"/>
      <c r="H108" s="458"/>
      <c r="I108" s="150">
        <v>90</v>
      </c>
      <c r="J108" s="154">
        <v>1456</v>
      </c>
      <c r="K108" s="155"/>
      <c r="L108" s="152">
        <f t="shared" si="2"/>
        <v>0</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0</v>
      </c>
      <c r="K113" s="151">
        <f>SUM(K114:K117)</f>
        <v>0</v>
      </c>
      <c r="L113" s="152" t="str">
        <f t="shared" si="2"/>
        <v>-</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c r="L116" s="152" t="str">
        <f t="shared" si="3"/>
        <v>-</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c r="K152" s="155"/>
      <c r="L152" s="152" t="str">
        <f t="shared" si="4"/>
        <v>-</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0</v>
      </c>
      <c r="K160" s="151">
        <f>SUM(K161:K162)</f>
        <v>0</v>
      </c>
      <c r="L160" s="152" t="str">
        <f t="shared" si="4"/>
        <v>-</v>
      </c>
    </row>
    <row r="161" spans="2:12" ht="14.25">
      <c r="B161" s="153">
        <v>191</v>
      </c>
      <c r="C161" s="457" t="s">
        <v>2814</v>
      </c>
      <c r="D161" s="458"/>
      <c r="E161" s="458"/>
      <c r="F161" s="458"/>
      <c r="G161" s="458"/>
      <c r="H161" s="458"/>
      <c r="I161" s="150">
        <v>143</v>
      </c>
      <c r="J161" s="154"/>
      <c r="K161" s="155"/>
      <c r="L161" s="152" t="str">
        <f t="shared" si="4"/>
        <v>-</v>
      </c>
    </row>
    <row r="162" spans="2:12" ht="14.25">
      <c r="B162" s="156">
        <v>192</v>
      </c>
      <c r="C162" s="463" t="s">
        <v>2815</v>
      </c>
      <c r="D162" s="464"/>
      <c r="E162" s="464"/>
      <c r="F162" s="464"/>
      <c r="G162" s="464"/>
      <c r="H162" s="464"/>
      <c r="I162" s="157">
        <v>144</v>
      </c>
      <c r="J162" s="158"/>
      <c r="K162" s="159"/>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177579</v>
      </c>
      <c r="K164" s="148">
        <f>K165+K214</f>
        <v>122685</v>
      </c>
      <c r="L164" s="160">
        <f aca="true" t="shared" si="5" ref="L164:L195">IF(J164&gt;0,IF(K164/J164&gt;=100,"&gt;&gt;100",K164/J164*100),"-")</f>
        <v>69.08756102917575</v>
      </c>
    </row>
    <row r="165" spans="2:12" ht="14.25">
      <c r="B165" s="149">
        <v>2</v>
      </c>
      <c r="C165" s="459" t="s">
        <v>2817</v>
      </c>
      <c r="D165" s="460"/>
      <c r="E165" s="460"/>
      <c r="F165" s="460"/>
      <c r="G165" s="460"/>
      <c r="H165" s="460"/>
      <c r="I165" s="150">
        <v>146</v>
      </c>
      <c r="J165" s="151">
        <f>J166+J193+J201+J209</f>
        <v>17321</v>
      </c>
      <c r="K165" s="151">
        <f>K166+K193+K201+K209</f>
        <v>25485</v>
      </c>
      <c r="L165" s="161">
        <f t="shared" si="5"/>
        <v>147.13353732463483</v>
      </c>
    </row>
    <row r="166" spans="2:12" ht="14.25">
      <c r="B166" s="153">
        <v>24</v>
      </c>
      <c r="C166" s="457" t="s">
        <v>2818</v>
      </c>
      <c r="D166" s="458"/>
      <c r="E166" s="458"/>
      <c r="F166" s="458"/>
      <c r="G166" s="458"/>
      <c r="H166" s="458"/>
      <c r="I166" s="150">
        <v>147</v>
      </c>
      <c r="J166" s="151">
        <f>J167+J175+J183+J187+J188+J189</f>
        <v>12498</v>
      </c>
      <c r="K166" s="151">
        <f>K167+K175+K183+K187+K188+K189</f>
        <v>20662</v>
      </c>
      <c r="L166" s="161">
        <f t="shared" si="5"/>
        <v>165.32245159225477</v>
      </c>
    </row>
    <row r="167" spans="2:12" ht="14.25">
      <c r="B167" s="153">
        <v>241</v>
      </c>
      <c r="C167" s="457" t="s">
        <v>2031</v>
      </c>
      <c r="D167" s="458"/>
      <c r="E167" s="458"/>
      <c r="F167" s="458"/>
      <c r="G167" s="458"/>
      <c r="H167" s="458"/>
      <c r="I167" s="150">
        <v>148</v>
      </c>
      <c r="J167" s="151">
        <f>SUM(J168:J174)</f>
        <v>10603</v>
      </c>
      <c r="K167" s="151">
        <f>SUM(K168:K174)</f>
        <v>14928</v>
      </c>
      <c r="L167" s="161">
        <f t="shared" si="5"/>
        <v>140.79034235593699</v>
      </c>
    </row>
    <row r="168" spans="2:12" ht="14.25">
      <c r="B168" s="153">
        <v>2411</v>
      </c>
      <c r="C168" s="457" t="s">
        <v>2032</v>
      </c>
      <c r="D168" s="458"/>
      <c r="E168" s="458"/>
      <c r="F168" s="458"/>
      <c r="G168" s="458"/>
      <c r="H168" s="458"/>
      <c r="I168" s="150">
        <v>149</v>
      </c>
      <c r="J168" s="162">
        <v>7093</v>
      </c>
      <c r="K168" s="163">
        <v>9720</v>
      </c>
      <c r="L168" s="161">
        <f t="shared" si="5"/>
        <v>137.03651487381924</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190</v>
      </c>
      <c r="K171" s="163">
        <v>531</v>
      </c>
      <c r="L171" s="161">
        <f t="shared" si="5"/>
        <v>279.4736842105263</v>
      </c>
    </row>
    <row r="172" spans="2:12" ht="14.25">
      <c r="B172" s="153">
        <v>2415</v>
      </c>
      <c r="C172" s="457" t="s">
        <v>2036</v>
      </c>
      <c r="D172" s="458"/>
      <c r="E172" s="458"/>
      <c r="F172" s="458"/>
      <c r="G172" s="458"/>
      <c r="H172" s="458"/>
      <c r="I172" s="150">
        <v>153</v>
      </c>
      <c r="J172" s="162">
        <v>1819</v>
      </c>
      <c r="K172" s="163">
        <v>2563</v>
      </c>
      <c r="L172" s="161">
        <f t="shared" si="5"/>
        <v>140.90159428257286</v>
      </c>
    </row>
    <row r="173" spans="2:12" ht="14.25">
      <c r="B173" s="153">
        <v>2416</v>
      </c>
      <c r="C173" s="457" t="s">
        <v>2037</v>
      </c>
      <c r="D173" s="458"/>
      <c r="E173" s="458"/>
      <c r="F173" s="458"/>
      <c r="G173" s="458"/>
      <c r="H173" s="458"/>
      <c r="I173" s="150">
        <v>154</v>
      </c>
      <c r="J173" s="162">
        <v>1501</v>
      </c>
      <c r="K173" s="163">
        <v>2114</v>
      </c>
      <c r="L173" s="161">
        <f t="shared" si="5"/>
        <v>140.8394403730846</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1895</v>
      </c>
      <c r="K175" s="151">
        <f>SUM(K176:K182)</f>
        <v>5734</v>
      </c>
      <c r="L175" s="161">
        <f t="shared" si="5"/>
        <v>302.58575197889184</v>
      </c>
    </row>
    <row r="176" spans="2:12" ht="14.25">
      <c r="B176" s="153">
        <v>2421</v>
      </c>
      <c r="C176" s="457" t="s">
        <v>2040</v>
      </c>
      <c r="D176" s="458"/>
      <c r="E176" s="458"/>
      <c r="F176" s="458"/>
      <c r="G176" s="458"/>
      <c r="H176" s="458"/>
      <c r="I176" s="150">
        <v>157</v>
      </c>
      <c r="J176" s="162"/>
      <c r="K176" s="163"/>
      <c r="L176" s="161" t="str">
        <f t="shared" si="5"/>
        <v>-</v>
      </c>
    </row>
    <row r="177" spans="2:12" ht="14.25">
      <c r="B177" s="153">
        <v>2422</v>
      </c>
      <c r="C177" s="457" t="s">
        <v>2041</v>
      </c>
      <c r="D177" s="458"/>
      <c r="E177" s="458"/>
      <c r="F177" s="458"/>
      <c r="G177" s="458"/>
      <c r="H177" s="458"/>
      <c r="I177" s="150">
        <v>158</v>
      </c>
      <c r="J177" s="162"/>
      <c r="K177" s="163"/>
      <c r="L177" s="161" t="str">
        <f t="shared" si="5"/>
        <v>-</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c r="K179" s="163"/>
      <c r="L179" s="161" t="str">
        <f t="shared" si="5"/>
        <v>-</v>
      </c>
    </row>
    <row r="180" spans="2:12" ht="14.25">
      <c r="B180" s="153">
        <v>2425</v>
      </c>
      <c r="C180" s="457" t="s">
        <v>2042</v>
      </c>
      <c r="D180" s="458"/>
      <c r="E180" s="458"/>
      <c r="F180" s="458"/>
      <c r="G180" s="458"/>
      <c r="H180" s="458"/>
      <c r="I180" s="150">
        <v>161</v>
      </c>
      <c r="J180" s="162">
        <v>1895</v>
      </c>
      <c r="K180" s="163">
        <v>5734</v>
      </c>
      <c r="L180" s="161">
        <f t="shared" si="5"/>
        <v>302.58575197889184</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9" t="s">
        <v>2262</v>
      </c>
      <c r="D192" s="470"/>
      <c r="E192" s="470"/>
      <c r="F192" s="470"/>
      <c r="G192" s="470"/>
      <c r="H192" s="470"/>
      <c r="I192" s="150">
        <v>173</v>
      </c>
      <c r="J192" s="162"/>
      <c r="K192" s="163"/>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4823</v>
      </c>
      <c r="K209" s="151">
        <f>SUM(K210:K211)</f>
        <v>4823</v>
      </c>
      <c r="L209" s="161">
        <f t="shared" si="6"/>
        <v>100</v>
      </c>
    </row>
    <row r="210" spans="2:12" ht="14.25">
      <c r="B210" s="153">
        <v>291</v>
      </c>
      <c r="C210" s="457" t="s">
        <v>1091</v>
      </c>
      <c r="D210" s="458"/>
      <c r="E210" s="458"/>
      <c r="F210" s="458"/>
      <c r="G210" s="458"/>
      <c r="H210" s="458"/>
      <c r="I210" s="150">
        <v>191</v>
      </c>
      <c r="J210" s="162">
        <v>4823</v>
      </c>
      <c r="K210" s="163">
        <v>4823</v>
      </c>
      <c r="L210" s="161">
        <f t="shared" si="6"/>
        <v>100</v>
      </c>
    </row>
    <row r="211" spans="2:12" ht="14.25">
      <c r="B211" s="153">
        <v>292</v>
      </c>
      <c r="C211" s="457" t="s">
        <v>1092</v>
      </c>
      <c r="D211" s="458"/>
      <c r="E211" s="458"/>
      <c r="F211" s="458"/>
      <c r="G211" s="458"/>
      <c r="H211" s="458"/>
      <c r="I211" s="150">
        <v>192</v>
      </c>
      <c r="J211" s="151">
        <f>SUM(J212:J213)</f>
        <v>0</v>
      </c>
      <c r="K211" s="151">
        <f>SUM(K212:K213)</f>
        <v>0</v>
      </c>
      <c r="L211" s="161" t="str">
        <f t="shared" si="6"/>
        <v>-</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c r="K213" s="163"/>
      <c r="L213" s="161" t="str">
        <f t="shared" si="6"/>
        <v>-</v>
      </c>
    </row>
    <row r="214" spans="2:12" ht="14.25">
      <c r="B214" s="149">
        <v>5</v>
      </c>
      <c r="C214" s="459" t="s">
        <v>1095</v>
      </c>
      <c r="D214" s="460"/>
      <c r="E214" s="460"/>
      <c r="F214" s="460"/>
      <c r="G214" s="460"/>
      <c r="H214" s="460"/>
      <c r="I214" s="150">
        <v>195</v>
      </c>
      <c r="J214" s="151">
        <f>J215+J218-J219</f>
        <v>160258</v>
      </c>
      <c r="K214" s="151">
        <f>K215+K218-K219</f>
        <v>97200</v>
      </c>
      <c r="L214" s="161">
        <f t="shared" si="6"/>
        <v>60.65219833019256</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c r="K216" s="163"/>
      <c r="L216" s="161" t="str">
        <f t="shared" si="6"/>
        <v>-</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160258</v>
      </c>
      <c r="K218" s="163">
        <v>97200</v>
      </c>
      <c r="L218" s="161">
        <f t="shared" si="6"/>
        <v>60.65219833019256</v>
      </c>
    </row>
    <row r="219" spans="2:12" ht="14.25">
      <c r="B219" s="156">
        <v>5222</v>
      </c>
      <c r="C219" s="463" t="s">
        <v>1100</v>
      </c>
      <c r="D219" s="464"/>
      <c r="E219" s="464"/>
      <c r="F219" s="464"/>
      <c r="G219" s="464"/>
      <c r="H219" s="464"/>
      <c r="I219" s="157">
        <v>200</v>
      </c>
      <c r="J219" s="164"/>
      <c r="K219" s="165"/>
      <c r="L219" s="166" t="str">
        <f t="shared" si="6"/>
        <v>-</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c r="K221" s="169"/>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Tvrtko Jakovina</v>
      </c>
      <c r="E226" s="447"/>
      <c r="F226" s="447"/>
      <c r="G226" s="447"/>
      <c r="H226" s="447"/>
      <c r="I226" s="173"/>
      <c r="J226" s="415"/>
      <c r="K226" s="415"/>
      <c r="L226" s="415"/>
    </row>
    <row r="227" spans="2:12" ht="15" thickBot="1">
      <c r="B227" s="386" t="s">
        <v>1239</v>
      </c>
      <c r="C227" s="386"/>
      <c r="D227" s="175" t="str">
        <f>IF(RefStr!O4=1,IF(RefStr!D41&lt;&gt;"",RefStr!D41,""),"")</f>
        <v>02.02.2022.</v>
      </c>
      <c r="E227" s="176"/>
      <c r="F227" s="176"/>
      <c r="G227" s="176"/>
      <c r="H227" s="177"/>
      <c r="I227" s="178"/>
      <c r="J227" s="178"/>
      <c r="K227" s="179"/>
      <c r="L227" s="178"/>
    </row>
    <row r="228" spans="2:12" ht="15" thickBot="1">
      <c r="B228" s="398" t="s">
        <v>1979</v>
      </c>
      <c r="C228" s="398"/>
      <c r="D228" s="447" t="str">
        <f>IF(RefStr!O4=1,IF(RefStr!D43&lt;&gt;"",RefStr!D43,""),"")</f>
        <v>Vlatka Zgurić Dobrenić</v>
      </c>
      <c r="E228" s="447"/>
      <c r="F228" s="447"/>
      <c r="G228" s="447"/>
      <c r="H228" s="171"/>
      <c r="I228" s="171"/>
      <c r="J228" s="171"/>
      <c r="K228" s="171"/>
      <c r="L228" s="171"/>
    </row>
    <row r="229" spans="2:12" ht="15" thickBot="1">
      <c r="B229" s="386" t="s">
        <v>1980</v>
      </c>
      <c r="C229" s="386"/>
      <c r="D229" s="445" t="str">
        <f>IF(RefStr!O4=1,IF(RefStr!D45&lt;&gt;"",RefStr!D45,""),"")</f>
        <v>016127167</v>
      </c>
      <c r="E229" s="445"/>
      <c r="F229" s="171"/>
      <c r="G229" s="180"/>
      <c r="H229" s="180"/>
      <c r="I229" s="180"/>
      <c r="J229" s="180"/>
      <c r="K229" s="180"/>
      <c r="L229" s="180"/>
    </row>
    <row r="230" spans="2:12" ht="15" thickBot="1">
      <c r="B230" s="386" t="s">
        <v>361</v>
      </c>
      <c r="C230" s="386"/>
      <c r="D230" s="446" t="str">
        <f>IF(RefStr!O4=1,IF(RefStr!D47&lt;&gt;"",RefStr!D47,""),"")</f>
        <v>016127923</v>
      </c>
      <c r="E230" s="446"/>
      <c r="F230" s="181"/>
      <c r="G230" s="181"/>
      <c r="H230" s="181"/>
      <c r="I230" s="181"/>
      <c r="J230" s="181"/>
      <c r="K230" s="180"/>
      <c r="L230" s="180"/>
    </row>
    <row r="231" spans="2:12" ht="15" thickBot="1">
      <c r="B231" s="386" t="s">
        <v>1981</v>
      </c>
      <c r="C231" s="386"/>
      <c r="D231" s="431" t="str">
        <f>IF(RefStr!O4=1,IF(RefStr!D49&lt;&gt;"",RefStr!D49,""),"")</f>
        <v>vlatka.zguric@fina.hr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Vlatka Zgurić-Dobrenić</cp:lastModifiedBy>
  <cp:lastPrinted>2019-01-14T12:51:57Z</cp:lastPrinted>
  <dcterms:created xsi:type="dcterms:W3CDTF">2001-11-21T09:32:18Z</dcterms:created>
  <dcterms:modified xsi:type="dcterms:W3CDTF">2022-02-02T12:06:26Z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